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11D9713B-883A-9446-8F0F-8AD6E02C9F2F}" xr6:coauthVersionLast="47" xr6:coauthVersionMax="47" xr10:uidLastSave="{00000000-0000-0000-0000-000000000000}"/>
  <bookViews>
    <workbookView xWindow="0" yWindow="500" windowWidth="38400" windowHeight="19900" activeTab="5" xr2:uid="{49D628A3-50CA-2542-B55B-8B6118BC3501}"/>
  </bookViews>
  <sheets>
    <sheet name="Datasets" sheetId="26" r:id="rId1"/>
    <sheet name="Demand" sheetId="25" r:id="rId2"/>
    <sheet name="PrivateCars.Cap" sheetId="2" r:id="rId3"/>
    <sheet name="PrivateCars.Act" sheetId="9" r:id="rId4"/>
    <sheet name="PrivateCars.Cost" sheetId="12" r:id="rId5"/>
    <sheet name="PrivateCars.IO" sheetId="11" r:id="rId6"/>
    <sheet name="PrivateCars.Cap.Omit" sheetId="8" r:id="rId7"/>
    <sheet name="Rail.Cap" sheetId="3" r:id="rId8"/>
    <sheet name="Rail.Act" sheetId="4" r:id="rId9"/>
    <sheet name="Rail.Cost" sheetId="17" r:id="rId10"/>
    <sheet name="Rail.IO" sheetId="13" r:id="rId11"/>
    <sheet name="MRT.Cap" sheetId="6" r:id="rId12"/>
    <sheet name="MRT.Act" sheetId="14" r:id="rId13"/>
    <sheet name="MRT.Cost" sheetId="15" r:id="rId14"/>
    <sheet name="MRT.IO" sheetId="16" r:id="rId15"/>
    <sheet name="Bus.Cap" sheetId="7" r:id="rId16"/>
    <sheet name="Bus.Act" sheetId="18" r:id="rId17"/>
    <sheet name="Bus.Cost" sheetId="19" r:id="rId18"/>
    <sheet name="Bus.IO" sheetId="20" r:id="rId19"/>
    <sheet name="2W.Cap" sheetId="21" r:id="rId20"/>
    <sheet name="2W.Act" sheetId="22" r:id="rId21"/>
    <sheet name="2W.Cost" sheetId="23" r:id="rId22"/>
    <sheet name="2W.IO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O40" i="7"/>
  <c r="L39" i="6"/>
  <c r="K39" i="6"/>
  <c r="H47" i="3"/>
  <c r="O11" i="2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Q9" i="25"/>
  <c r="Q8" i="25" s="1"/>
  <c r="Q7" i="25" s="1"/>
  <c r="Q6" i="25" s="1"/>
  <c r="P7" i="25"/>
  <c r="P6" i="25" s="1"/>
  <c r="P8" i="25"/>
  <c r="P9" i="25"/>
  <c r="J13" i="25"/>
  <c r="J12" i="25" s="1"/>
  <c r="J11" i="25" s="1"/>
  <c r="J10" i="25" s="1"/>
  <c r="J9" i="25" s="1"/>
  <c r="J8" i="25" s="1"/>
  <c r="J7" i="25" s="1"/>
  <c r="J6" i="25" s="1"/>
  <c r="I13" i="25"/>
  <c r="I12" i="25" s="1"/>
  <c r="I11" i="25" s="1"/>
  <c r="I10" i="25" s="1"/>
  <c r="I9" i="25" s="1"/>
  <c r="I8" i="25" s="1"/>
  <c r="I7" i="25" s="1"/>
  <c r="I6" i="25" s="1"/>
  <c r="H13" i="25"/>
  <c r="H12" i="25" s="1"/>
  <c r="H11" i="25" s="1"/>
  <c r="H10" i="25" s="1"/>
  <c r="H9" i="25" s="1"/>
  <c r="H8" i="25" s="1"/>
  <c r="H7" i="25" s="1"/>
  <c r="H6" i="25" s="1"/>
  <c r="T21" i="25"/>
  <c r="T20" i="25" s="1"/>
  <c r="T19" i="25" s="1"/>
  <c r="T18" i="25" s="1"/>
  <c r="T17" i="25" s="1"/>
  <c r="T16" i="25" s="1"/>
  <c r="T15" i="25" s="1"/>
  <c r="T14" i="25" s="1"/>
  <c r="T13" i="25" s="1"/>
  <c r="T12" i="25" s="1"/>
  <c r="T11" i="25" s="1"/>
  <c r="T10" i="25" s="1"/>
  <c r="T9" i="25" s="1"/>
  <c r="T8" i="25" s="1"/>
  <c r="T7" i="25" s="1"/>
  <c r="T6" i="25" s="1"/>
  <c r="T22" i="25"/>
  <c r="T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Z7" i="25"/>
  <c r="AE14" i="25"/>
  <c r="AE13" i="25" s="1"/>
  <c r="AE12" i="25" s="1"/>
  <c r="AE11" i="25" s="1"/>
  <c r="AE10" i="25" s="1"/>
  <c r="AE9" i="25" s="1"/>
  <c r="AE8" i="25" s="1"/>
  <c r="AE7" i="25" s="1"/>
  <c r="AE6" i="25" s="1"/>
  <c r="AN5" i="25"/>
  <c r="AM5" i="25"/>
  <c r="AB6" i="25"/>
  <c r="AG6" i="25"/>
  <c r="AH6" i="25"/>
  <c r="AI6" i="25"/>
  <c r="AB7" i="25"/>
  <c r="AG7" i="25"/>
  <c r="AH7" i="25"/>
  <c r="AI7" i="25"/>
  <c r="AB8" i="25"/>
  <c r="AG8" i="25"/>
  <c r="AH8" i="25"/>
  <c r="AI8" i="25"/>
  <c r="AB9" i="25"/>
  <c r="AG9" i="25"/>
  <c r="AH9" i="25"/>
  <c r="AI9" i="25"/>
  <c r="AB10" i="25"/>
  <c r="AF10" i="25"/>
  <c r="AG10" i="25"/>
  <c r="AH10" i="25"/>
  <c r="AI10" i="25"/>
  <c r="AJ10" i="25"/>
  <c r="AJ9" i="25" s="1"/>
  <c r="AJ8" i="25" s="1"/>
  <c r="AJ7" i="25" s="1"/>
  <c r="AJ6" i="25" s="1"/>
  <c r="AK10" i="25"/>
  <c r="AK9" i="25" s="1"/>
  <c r="AK8" i="25" s="1"/>
  <c r="AK7" i="25" s="1"/>
  <c r="AK6" i="25" s="1"/>
  <c r="AB11" i="25"/>
  <c r="AF11" i="25"/>
  <c r="AG11" i="25"/>
  <c r="AH11" i="25"/>
  <c r="AI11" i="25"/>
  <c r="AJ11" i="25"/>
  <c r="AK11" i="25"/>
  <c r="AB12" i="25"/>
  <c r="AF12" i="25"/>
  <c r="AG12" i="25"/>
  <c r="AH12" i="25"/>
  <c r="AI12" i="25"/>
  <c r="AJ12" i="25"/>
  <c r="AK12" i="25"/>
  <c r="AB13" i="25"/>
  <c r="AF13" i="25"/>
  <c r="AG13" i="25"/>
  <c r="AH13" i="25"/>
  <c r="AI13" i="25"/>
  <c r="AJ13" i="25"/>
  <c r="AK13" i="25"/>
  <c r="AB14" i="25"/>
  <c r="AC14" i="25"/>
  <c r="AC13" i="25" s="1"/>
  <c r="AC12" i="25" s="1"/>
  <c r="AC11" i="25" s="1"/>
  <c r="AC10" i="25" s="1"/>
  <c r="AC9" i="25" s="1"/>
  <c r="AC8" i="25" s="1"/>
  <c r="AC7" i="25" s="1"/>
  <c r="AC6" i="25" s="1"/>
  <c r="AD14" i="25"/>
  <c r="AD13" i="25" s="1"/>
  <c r="AD12" i="25" s="1"/>
  <c r="AD11" i="25" s="1"/>
  <c r="AD10" i="25" s="1"/>
  <c r="AD9" i="25" s="1"/>
  <c r="AD8" i="25" s="1"/>
  <c r="AD7" i="25" s="1"/>
  <c r="AD6" i="25" s="1"/>
  <c r="AF14" i="25"/>
  <c r="AG14" i="25"/>
  <c r="AH14" i="25"/>
  <c r="AI14" i="25"/>
  <c r="AJ14" i="25"/>
  <c r="AK14" i="25"/>
  <c r="AB15" i="25"/>
  <c r="AC15" i="25"/>
  <c r="AD15" i="25"/>
  <c r="AE15" i="25"/>
  <c r="AF15" i="25"/>
  <c r="AG15" i="25"/>
  <c r="AH15" i="25"/>
  <c r="AI15" i="25"/>
  <c r="AJ15" i="25"/>
  <c r="AK15" i="25"/>
  <c r="AB16" i="25"/>
  <c r="AC16" i="25"/>
  <c r="AD16" i="25"/>
  <c r="AE16" i="25"/>
  <c r="AF16" i="25"/>
  <c r="AG16" i="25"/>
  <c r="AH16" i="25"/>
  <c r="AI16" i="25"/>
  <c r="AJ16" i="25"/>
  <c r="AK16" i="25"/>
  <c r="AB17" i="25"/>
  <c r="AC17" i="25"/>
  <c r="AD17" i="25"/>
  <c r="AE17" i="25"/>
  <c r="AF17" i="25"/>
  <c r="AG17" i="25"/>
  <c r="AH17" i="25"/>
  <c r="AI17" i="25"/>
  <c r="AJ17" i="25"/>
  <c r="AK17" i="25"/>
  <c r="AB18" i="25"/>
  <c r="AC18" i="25"/>
  <c r="AD18" i="25"/>
  <c r="AE18" i="25"/>
  <c r="AF18" i="25"/>
  <c r="AG18" i="25"/>
  <c r="AH18" i="25"/>
  <c r="AI18" i="25"/>
  <c r="AJ18" i="25"/>
  <c r="AK18" i="25"/>
  <c r="AB19" i="25"/>
  <c r="AC19" i="25"/>
  <c r="AD19" i="25"/>
  <c r="AE19" i="25"/>
  <c r="AF19" i="25"/>
  <c r="AG19" i="25"/>
  <c r="AH19" i="25"/>
  <c r="AI19" i="25"/>
  <c r="AJ19" i="25"/>
  <c r="AK19" i="25"/>
  <c r="AB20" i="25"/>
  <c r="AC20" i="25"/>
  <c r="AD20" i="25"/>
  <c r="AE20" i="25"/>
  <c r="AF20" i="25"/>
  <c r="AG20" i="25"/>
  <c r="AH20" i="25"/>
  <c r="AI20" i="25"/>
  <c r="AJ20" i="25"/>
  <c r="AK20" i="25"/>
  <c r="AB21" i="25"/>
  <c r="AC21" i="25"/>
  <c r="AD21" i="25"/>
  <c r="AE21" i="25"/>
  <c r="AF21" i="25"/>
  <c r="AG21" i="25"/>
  <c r="AH21" i="25"/>
  <c r="AI21" i="25"/>
  <c r="AJ21" i="25"/>
  <c r="AK21" i="25"/>
  <c r="AB22" i="25"/>
  <c r="AC22" i="25"/>
  <c r="AD22" i="25"/>
  <c r="AE22" i="25"/>
  <c r="AF22" i="25"/>
  <c r="AG22" i="25"/>
  <c r="AH22" i="25"/>
  <c r="AI22" i="25"/>
  <c r="AJ22" i="25"/>
  <c r="AK22" i="25"/>
  <c r="AB23" i="25"/>
  <c r="AC23" i="25"/>
  <c r="AD23" i="25"/>
  <c r="AE23" i="25"/>
  <c r="AF23" i="25"/>
  <c r="AG23" i="25"/>
  <c r="AH23" i="25"/>
  <c r="AI23" i="25"/>
  <c r="AJ23" i="25"/>
  <c r="AK23" i="25"/>
  <c r="AB24" i="25"/>
  <c r="AC24" i="25"/>
  <c r="AD24" i="25"/>
  <c r="AE24" i="25"/>
  <c r="AF24" i="25"/>
  <c r="AG24" i="25"/>
  <c r="AH24" i="25"/>
  <c r="AI24" i="25"/>
  <c r="AJ24" i="25"/>
  <c r="AK24" i="25"/>
  <c r="AB25" i="25"/>
  <c r="AC25" i="25"/>
  <c r="AD25" i="25"/>
  <c r="AE25" i="25"/>
  <c r="AF25" i="25"/>
  <c r="AG25" i="25"/>
  <c r="AH25" i="25"/>
  <c r="AI25" i="25"/>
  <c r="AJ25" i="25"/>
  <c r="AK25" i="25"/>
  <c r="AB26" i="25"/>
  <c r="AC26" i="25"/>
  <c r="AD26" i="25"/>
  <c r="AE26" i="25"/>
  <c r="AF26" i="25"/>
  <c r="AG26" i="25"/>
  <c r="AH26" i="25"/>
  <c r="AI26" i="25"/>
  <c r="AJ26" i="25"/>
  <c r="AK26" i="25"/>
  <c r="AB27" i="25"/>
  <c r="AC27" i="25"/>
  <c r="AD27" i="25"/>
  <c r="AE27" i="25"/>
  <c r="AF27" i="25"/>
  <c r="AG27" i="25"/>
  <c r="AH27" i="25"/>
  <c r="AI27" i="25"/>
  <c r="AJ27" i="25"/>
  <c r="AK27" i="25"/>
  <c r="AB28" i="25"/>
  <c r="AC28" i="25"/>
  <c r="AD28" i="25"/>
  <c r="AE28" i="25"/>
  <c r="AF28" i="25"/>
  <c r="AG28" i="25"/>
  <c r="AH28" i="25"/>
  <c r="AI28" i="25"/>
  <c r="AJ28" i="25"/>
  <c r="AK28" i="25"/>
  <c r="AB29" i="25"/>
  <c r="AC29" i="25"/>
  <c r="AD29" i="25"/>
  <c r="AE29" i="25"/>
  <c r="AF29" i="25"/>
  <c r="AG29" i="25"/>
  <c r="AH29" i="25"/>
  <c r="AI29" i="25"/>
  <c r="AJ29" i="25"/>
  <c r="AK29" i="25"/>
  <c r="AB30" i="25"/>
  <c r="AC30" i="25"/>
  <c r="AD30" i="25"/>
  <c r="AE30" i="25"/>
  <c r="AF30" i="25"/>
  <c r="AG30" i="25"/>
  <c r="AH30" i="25"/>
  <c r="AI30" i="25"/>
  <c r="AJ30" i="25"/>
  <c r="AK30" i="25"/>
  <c r="AB31" i="25"/>
  <c r="AM31" i="25" s="1"/>
  <c r="AC31" i="25"/>
  <c r="AD31" i="25"/>
  <c r="AE31" i="25"/>
  <c r="AF31" i="25"/>
  <c r="AN31" i="25" s="1"/>
  <c r="AG31" i="25"/>
  <c r="AH31" i="25"/>
  <c r="AI31" i="25"/>
  <c r="AJ31" i="25"/>
  <c r="AK31" i="25"/>
  <c r="AB32" i="25"/>
  <c r="AC32" i="25"/>
  <c r="AD32" i="25"/>
  <c r="AE32" i="25"/>
  <c r="AF32" i="25"/>
  <c r="AG32" i="25"/>
  <c r="AH32" i="25"/>
  <c r="AI32" i="25"/>
  <c r="AJ32" i="25"/>
  <c r="AK32" i="25"/>
  <c r="AB33" i="25"/>
  <c r="AC33" i="25"/>
  <c r="AD33" i="25"/>
  <c r="AE33" i="25"/>
  <c r="AF33" i="25"/>
  <c r="AG33" i="25"/>
  <c r="AH33" i="25"/>
  <c r="AI33" i="25"/>
  <c r="AJ33" i="25"/>
  <c r="AK33" i="25"/>
  <c r="AB34" i="25"/>
  <c r="AC34" i="25"/>
  <c r="AD34" i="25"/>
  <c r="AE34" i="25"/>
  <c r="AF34" i="25"/>
  <c r="AG34" i="25"/>
  <c r="AH34" i="25"/>
  <c r="AI34" i="25"/>
  <c r="AJ34" i="25"/>
  <c r="AK34" i="25"/>
  <c r="AB35" i="25"/>
  <c r="AC35" i="25"/>
  <c r="AD35" i="25"/>
  <c r="AE35" i="25"/>
  <c r="AF35" i="25"/>
  <c r="AG35" i="25"/>
  <c r="AH35" i="25"/>
  <c r="AI35" i="25"/>
  <c r="AJ35" i="25"/>
  <c r="AK35" i="25"/>
  <c r="AB36" i="25"/>
  <c r="AC36" i="25"/>
  <c r="AD36" i="25"/>
  <c r="AE36" i="25"/>
  <c r="AF36" i="25"/>
  <c r="AG36" i="25"/>
  <c r="AH36" i="25"/>
  <c r="AI36" i="25"/>
  <c r="AJ36" i="25"/>
  <c r="AK36" i="25"/>
  <c r="AB37" i="25"/>
  <c r="AM37" i="25" s="1"/>
  <c r="AC37" i="25"/>
  <c r="AD37" i="25"/>
  <c r="AE37" i="25"/>
  <c r="AF37" i="25"/>
  <c r="AN37" i="25" s="1"/>
  <c r="AG37" i="25"/>
  <c r="AH37" i="25"/>
  <c r="AI37" i="25"/>
  <c r="AJ37" i="25"/>
  <c r="AK37" i="25"/>
  <c r="AK4" i="25"/>
  <c r="AG4" i="25"/>
  <c r="AH4" i="25"/>
  <c r="AI4" i="25"/>
  <c r="AJ4" i="25"/>
  <c r="AC4" i="25"/>
  <c r="AD4" i="25"/>
  <c r="AE4" i="25"/>
  <c r="AF4" i="25"/>
  <c r="AN4" i="25" s="1"/>
  <c r="AB4" i="25"/>
  <c r="AM4" i="25" s="1"/>
  <c r="W11" i="25"/>
  <c r="X11" i="25" s="1"/>
  <c r="W12" i="25"/>
  <c r="W13" i="25"/>
  <c r="X13" i="25" s="1"/>
  <c r="W14" i="25"/>
  <c r="X14" i="25" s="1"/>
  <c r="W15" i="25"/>
  <c r="X15" i="25" s="1"/>
  <c r="W16" i="25"/>
  <c r="X16" i="25" s="1"/>
  <c r="W17" i="25"/>
  <c r="X17" i="25" s="1"/>
  <c r="W18" i="25"/>
  <c r="X18" i="25" s="1"/>
  <c r="W19" i="25"/>
  <c r="X19" i="25" s="1"/>
  <c r="W20" i="25"/>
  <c r="W21" i="25"/>
  <c r="W22" i="25"/>
  <c r="W23" i="25"/>
  <c r="X23" i="25" s="1"/>
  <c r="W24" i="25"/>
  <c r="X24" i="25" s="1"/>
  <c r="W25" i="25"/>
  <c r="X25" i="25" s="1"/>
  <c r="W26" i="25"/>
  <c r="X26" i="25" s="1"/>
  <c r="W27" i="25"/>
  <c r="X27" i="25" s="1"/>
  <c r="W28" i="25"/>
  <c r="W29" i="25"/>
  <c r="W30" i="25"/>
  <c r="W31" i="25"/>
  <c r="X31" i="25" s="1"/>
  <c r="W32" i="25"/>
  <c r="X32" i="25" s="1"/>
  <c r="W33" i="25"/>
  <c r="X33" i="25" s="1"/>
  <c r="W34" i="25"/>
  <c r="X34" i="25" s="1"/>
  <c r="W35" i="25"/>
  <c r="X35" i="25" s="1"/>
  <c r="W36" i="25"/>
  <c r="W37" i="25"/>
  <c r="W10" i="25"/>
  <c r="X10" i="25" s="1"/>
  <c r="AI39" i="11"/>
  <c r="I28" i="23"/>
  <c r="K8" i="21"/>
  <c r="L8" i="21"/>
  <c r="K9" i="21"/>
  <c r="L9" i="21"/>
  <c r="K10" i="21"/>
  <c r="L10" i="21"/>
  <c r="K11" i="21"/>
  <c r="L11" i="21"/>
  <c r="L12" i="21"/>
  <c r="K13" i="21"/>
  <c r="L13" i="21"/>
  <c r="K14" i="21"/>
  <c r="N14" i="21" s="1"/>
  <c r="L14" i="21"/>
  <c r="K15" i="21"/>
  <c r="N15" i="21" s="1"/>
  <c r="L15" i="21"/>
  <c r="K16" i="21"/>
  <c r="L16" i="21"/>
  <c r="K17" i="21"/>
  <c r="L17" i="21"/>
  <c r="K18" i="21"/>
  <c r="L18" i="21"/>
  <c r="K19" i="21"/>
  <c r="N19" i="21" s="1"/>
  <c r="L19" i="21"/>
  <c r="K20" i="21"/>
  <c r="L20" i="21"/>
  <c r="L7" i="21"/>
  <c r="K7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21" i="21"/>
  <c r="K22" i="21"/>
  <c r="K23" i="21"/>
  <c r="K24" i="21"/>
  <c r="K25" i="21"/>
  <c r="K26" i="21"/>
  <c r="N26" i="21" s="1"/>
  <c r="K27" i="21"/>
  <c r="N27" i="21" s="1"/>
  <c r="K28" i="21"/>
  <c r="N28" i="21" s="1"/>
  <c r="K29" i="21"/>
  <c r="N29" i="21" s="1"/>
  <c r="K30" i="21"/>
  <c r="K31" i="21"/>
  <c r="K32" i="21"/>
  <c r="K33" i="21"/>
  <c r="K34" i="21"/>
  <c r="N34" i="21" s="1"/>
  <c r="K35" i="21"/>
  <c r="N35" i="21" s="1"/>
  <c r="K36" i="21"/>
  <c r="N36" i="21" s="1"/>
  <c r="K37" i="21"/>
  <c r="K21" i="21"/>
  <c r="N12" i="21"/>
  <c r="N13" i="21"/>
  <c r="N16" i="21"/>
  <c r="N17" i="21"/>
  <c r="N18" i="21"/>
  <c r="N20" i="21"/>
  <c r="N21" i="21"/>
  <c r="N22" i="21"/>
  <c r="N23" i="21"/>
  <c r="N24" i="21"/>
  <c r="N25" i="21"/>
  <c r="N30" i="21"/>
  <c r="N31" i="21"/>
  <c r="N32" i="21"/>
  <c r="N33" i="21"/>
  <c r="E31" i="22"/>
  <c r="E11" i="22"/>
  <c r="F31" i="22"/>
  <c r="F11" i="22"/>
  <c r="P2" i="22"/>
  <c r="P3" i="22"/>
  <c r="P5" i="22"/>
  <c r="S2" i="22"/>
  <c r="S3" i="22"/>
  <c r="S5" i="22"/>
  <c r="R2" i="22"/>
  <c r="R3" i="22"/>
  <c r="R5" i="22"/>
  <c r="Y7" i="21"/>
  <c r="S7" i="22" s="1"/>
  <c r="Y8" i="21"/>
  <c r="S8" i="22" s="1"/>
  <c r="Y9" i="21"/>
  <c r="S9" i="22" s="1"/>
  <c r="Y10" i="21"/>
  <c r="S10" i="22" s="1"/>
  <c r="Y11" i="21"/>
  <c r="S11" i="22" s="1"/>
  <c r="Y12" i="21"/>
  <c r="S12" i="22" s="1"/>
  <c r="Y13" i="21"/>
  <c r="S13" i="22" s="1"/>
  <c r="Y14" i="21"/>
  <c r="S14" i="22" s="1"/>
  <c r="Y15" i="21"/>
  <c r="S15" i="22" s="1"/>
  <c r="Y16" i="21"/>
  <c r="S16" i="22" s="1"/>
  <c r="Y17" i="21"/>
  <c r="S17" i="22" s="1"/>
  <c r="Y18" i="21"/>
  <c r="S18" i="22" s="1"/>
  <c r="Y19" i="21"/>
  <c r="S19" i="22" s="1"/>
  <c r="Y20" i="21"/>
  <c r="S20" i="22" s="1"/>
  <c r="Y21" i="21"/>
  <c r="S21" i="22" s="1"/>
  <c r="Y22" i="21"/>
  <c r="S22" i="22" s="1"/>
  <c r="Y23" i="21"/>
  <c r="S23" i="22" s="1"/>
  <c r="Y24" i="21"/>
  <c r="S24" i="22" s="1"/>
  <c r="Y25" i="21"/>
  <c r="S25" i="22" s="1"/>
  <c r="Y26" i="21"/>
  <c r="S26" i="22" s="1"/>
  <c r="Y27" i="21"/>
  <c r="S27" i="22" s="1"/>
  <c r="Y28" i="21"/>
  <c r="S28" i="22" s="1"/>
  <c r="Y29" i="21"/>
  <c r="S29" i="22" s="1"/>
  <c r="Y30" i="21"/>
  <c r="S30" i="22" s="1"/>
  <c r="Y31" i="21"/>
  <c r="S31" i="22" s="1"/>
  <c r="Y32" i="21"/>
  <c r="S32" i="22" s="1"/>
  <c r="Y33" i="21"/>
  <c r="S33" i="22" s="1"/>
  <c r="Y34" i="21"/>
  <c r="S34" i="22" s="1"/>
  <c r="Y35" i="21"/>
  <c r="S35" i="22" s="1"/>
  <c r="Y36" i="21"/>
  <c r="S36" i="22" s="1"/>
  <c r="Y37" i="21"/>
  <c r="S37" i="22" s="1"/>
  <c r="Y38" i="21"/>
  <c r="Y6" i="21"/>
  <c r="S6" i="22" s="1"/>
  <c r="X7" i="21"/>
  <c r="R7" i="22" s="1"/>
  <c r="B7" i="22" s="1"/>
  <c r="X8" i="21"/>
  <c r="R8" i="22" s="1"/>
  <c r="B8" i="22" s="1"/>
  <c r="X9" i="21"/>
  <c r="R9" i="22" s="1"/>
  <c r="B9" i="22" s="1"/>
  <c r="X10" i="21"/>
  <c r="R10" i="22" s="1"/>
  <c r="B10" i="22" s="1"/>
  <c r="X11" i="21"/>
  <c r="R11" i="22" s="1"/>
  <c r="B11" i="22" s="1"/>
  <c r="X12" i="21"/>
  <c r="R12" i="22" s="1"/>
  <c r="B12" i="22" s="1"/>
  <c r="X13" i="21"/>
  <c r="R13" i="22" s="1"/>
  <c r="B13" i="22" s="1"/>
  <c r="X14" i="21"/>
  <c r="R14" i="22" s="1"/>
  <c r="B14" i="22" s="1"/>
  <c r="X14" i="22" s="1"/>
  <c r="X15" i="21"/>
  <c r="R15" i="22" s="1"/>
  <c r="B15" i="22" s="1"/>
  <c r="X16" i="21"/>
  <c r="R16" i="22" s="1"/>
  <c r="B16" i="22" s="1"/>
  <c r="X17" i="21"/>
  <c r="R17" i="22" s="1"/>
  <c r="B17" i="22" s="1"/>
  <c r="X18" i="21"/>
  <c r="R18" i="22" s="1"/>
  <c r="B18" i="22" s="1"/>
  <c r="X18" i="22" s="1"/>
  <c r="X19" i="21"/>
  <c r="R19" i="22" s="1"/>
  <c r="B19" i="22" s="1"/>
  <c r="X20" i="21"/>
  <c r="R20" i="22" s="1"/>
  <c r="B20" i="22" s="1"/>
  <c r="X21" i="21"/>
  <c r="R21" i="22" s="1"/>
  <c r="B21" i="22" s="1"/>
  <c r="X22" i="21"/>
  <c r="R22" i="22" s="1"/>
  <c r="B22" i="22" s="1"/>
  <c r="X22" i="22" s="1"/>
  <c r="X23" i="21"/>
  <c r="R23" i="22" s="1"/>
  <c r="B23" i="22" s="1"/>
  <c r="X24" i="21"/>
  <c r="R24" i="22" s="1"/>
  <c r="B24" i="22" s="1"/>
  <c r="X25" i="21"/>
  <c r="R25" i="22" s="1"/>
  <c r="B25" i="22" s="1"/>
  <c r="X25" i="22" s="1"/>
  <c r="X26" i="21"/>
  <c r="R26" i="22" s="1"/>
  <c r="B26" i="22" s="1"/>
  <c r="X27" i="21"/>
  <c r="R27" i="22" s="1"/>
  <c r="B27" i="22" s="1"/>
  <c r="X28" i="21"/>
  <c r="R28" i="22" s="1"/>
  <c r="B28" i="22" s="1"/>
  <c r="X29" i="21"/>
  <c r="R29" i="22" s="1"/>
  <c r="B29" i="22" s="1"/>
  <c r="X30" i="21"/>
  <c r="R30" i="22" s="1"/>
  <c r="B30" i="22" s="1"/>
  <c r="X30" i="22" s="1"/>
  <c r="X31" i="21"/>
  <c r="R31" i="22" s="1"/>
  <c r="B31" i="22" s="1"/>
  <c r="X32" i="21"/>
  <c r="R32" i="22" s="1"/>
  <c r="B32" i="22" s="1"/>
  <c r="X33" i="21"/>
  <c r="R33" i="22" s="1"/>
  <c r="B33" i="22" s="1"/>
  <c r="X34" i="21"/>
  <c r="R34" i="22" s="1"/>
  <c r="B34" i="22" s="1"/>
  <c r="X35" i="21"/>
  <c r="R35" i="22" s="1"/>
  <c r="B35" i="22" s="1"/>
  <c r="X36" i="21"/>
  <c r="R36" i="22" s="1"/>
  <c r="B36" i="22" s="1"/>
  <c r="X37" i="21"/>
  <c r="R37" i="22" s="1"/>
  <c r="B37" i="22" s="1"/>
  <c r="X38" i="21"/>
  <c r="X6" i="21"/>
  <c r="R6" i="22" s="1"/>
  <c r="B6" i="22" s="1"/>
  <c r="H7" i="21"/>
  <c r="U7" i="22" s="1"/>
  <c r="H8" i="21"/>
  <c r="H9" i="21"/>
  <c r="U9" i="22" s="1"/>
  <c r="H10" i="21"/>
  <c r="U10" i="22" s="1"/>
  <c r="H11" i="21"/>
  <c r="U11" i="22" s="1"/>
  <c r="H12" i="21"/>
  <c r="U12" i="22" s="1"/>
  <c r="H13" i="21"/>
  <c r="U13" i="22" s="1"/>
  <c r="H14" i="21"/>
  <c r="U14" i="22" s="1"/>
  <c r="H15" i="21"/>
  <c r="U15" i="22" s="1"/>
  <c r="H16" i="21"/>
  <c r="H17" i="21"/>
  <c r="U17" i="22" s="1"/>
  <c r="H18" i="21"/>
  <c r="U18" i="22" s="1"/>
  <c r="H19" i="21"/>
  <c r="U19" i="22" s="1"/>
  <c r="H20" i="21"/>
  <c r="U20" i="22" s="1"/>
  <c r="H21" i="21"/>
  <c r="U21" i="22" s="1"/>
  <c r="H22" i="21"/>
  <c r="U22" i="22" s="1"/>
  <c r="H23" i="21"/>
  <c r="U23" i="22" s="1"/>
  <c r="H24" i="21"/>
  <c r="H25" i="21"/>
  <c r="U25" i="22" s="1"/>
  <c r="H26" i="21"/>
  <c r="U26" i="22" s="1"/>
  <c r="H27" i="21"/>
  <c r="U27" i="22" s="1"/>
  <c r="H28" i="21"/>
  <c r="U28" i="22" s="1"/>
  <c r="H29" i="21"/>
  <c r="U29" i="22" s="1"/>
  <c r="H30" i="21"/>
  <c r="U30" i="22" s="1"/>
  <c r="H31" i="21"/>
  <c r="U31" i="22" s="1"/>
  <c r="H32" i="21"/>
  <c r="U32" i="22" s="1"/>
  <c r="H33" i="21"/>
  <c r="U33" i="22" s="1"/>
  <c r="H34" i="21"/>
  <c r="U34" i="22" s="1"/>
  <c r="H35" i="21"/>
  <c r="U35" i="22" s="1"/>
  <c r="H36" i="21"/>
  <c r="U36" i="22" s="1"/>
  <c r="H37" i="21"/>
  <c r="U37" i="22" s="1"/>
  <c r="H6" i="21"/>
  <c r="U6" i="22" s="1"/>
  <c r="I7" i="21"/>
  <c r="V7" i="22" s="1"/>
  <c r="I8" i="21"/>
  <c r="V8" i="22" s="1"/>
  <c r="I9" i="21"/>
  <c r="V9" i="22" s="1"/>
  <c r="I10" i="21"/>
  <c r="V10" i="22" s="1"/>
  <c r="I11" i="21"/>
  <c r="V11" i="22" s="1"/>
  <c r="I12" i="21"/>
  <c r="V12" i="22" s="1"/>
  <c r="I13" i="21"/>
  <c r="V13" i="22" s="1"/>
  <c r="I14" i="21"/>
  <c r="V14" i="22" s="1"/>
  <c r="I15" i="21"/>
  <c r="V15" i="22" s="1"/>
  <c r="I16" i="21"/>
  <c r="V16" i="22" s="1"/>
  <c r="I17" i="21"/>
  <c r="V17" i="22" s="1"/>
  <c r="I18" i="21"/>
  <c r="V18" i="22" s="1"/>
  <c r="I19" i="21"/>
  <c r="V19" i="22" s="1"/>
  <c r="I20" i="21"/>
  <c r="V20" i="22" s="1"/>
  <c r="I21" i="21"/>
  <c r="V21" i="22" s="1"/>
  <c r="I22" i="21"/>
  <c r="V22" i="22" s="1"/>
  <c r="I23" i="21"/>
  <c r="V23" i="22" s="1"/>
  <c r="I24" i="21"/>
  <c r="V24" i="22" s="1"/>
  <c r="I25" i="21"/>
  <c r="V25" i="22" s="1"/>
  <c r="I26" i="21"/>
  <c r="V26" i="22" s="1"/>
  <c r="I27" i="21"/>
  <c r="V27" i="22" s="1"/>
  <c r="I28" i="21"/>
  <c r="V28" i="22" s="1"/>
  <c r="I29" i="21"/>
  <c r="V29" i="22" s="1"/>
  <c r="I30" i="21"/>
  <c r="I31" i="21"/>
  <c r="V31" i="22" s="1"/>
  <c r="I32" i="21"/>
  <c r="V32" i="22" s="1"/>
  <c r="I33" i="21"/>
  <c r="V33" i="22" s="1"/>
  <c r="I34" i="21"/>
  <c r="V34" i="22" s="1"/>
  <c r="I35" i="21"/>
  <c r="V35" i="22" s="1"/>
  <c r="I36" i="21"/>
  <c r="V36" i="22" s="1"/>
  <c r="I37" i="21"/>
  <c r="V37" i="22" s="1"/>
  <c r="I6" i="21"/>
  <c r="V6" i="22" s="1"/>
  <c r="S14" i="21"/>
  <c r="P14" i="22" s="1"/>
  <c r="C14" i="22" s="1"/>
  <c r="Y14" i="22" s="1"/>
  <c r="S22" i="21"/>
  <c r="P22" i="22" s="1"/>
  <c r="S30" i="21"/>
  <c r="P30" i="22" s="1"/>
  <c r="C30" i="22" s="1"/>
  <c r="S38" i="21"/>
  <c r="S7" i="21"/>
  <c r="P7" i="22" s="1"/>
  <c r="S8" i="21"/>
  <c r="P8" i="22" s="1"/>
  <c r="C8" i="22" s="1"/>
  <c r="S9" i="21"/>
  <c r="P9" i="22" s="1"/>
  <c r="C9" i="22" s="1"/>
  <c r="S10" i="21"/>
  <c r="P10" i="22" s="1"/>
  <c r="C10" i="22" s="1"/>
  <c r="S11" i="21"/>
  <c r="P11" i="22" s="1"/>
  <c r="C11" i="22" s="1"/>
  <c r="S12" i="21"/>
  <c r="P12" i="22" s="1"/>
  <c r="C12" i="22" s="1"/>
  <c r="Y12" i="22" s="1"/>
  <c r="S13" i="21"/>
  <c r="P13" i="22" s="1"/>
  <c r="S15" i="21"/>
  <c r="P15" i="22" s="1"/>
  <c r="S16" i="21"/>
  <c r="P16" i="22" s="1"/>
  <c r="C16" i="22" s="1"/>
  <c r="S17" i="21"/>
  <c r="P17" i="22" s="1"/>
  <c r="C17" i="22" s="1"/>
  <c r="S18" i="21"/>
  <c r="P18" i="22" s="1"/>
  <c r="C18" i="22" s="1"/>
  <c r="Y18" i="22" s="1"/>
  <c r="S19" i="21"/>
  <c r="P19" i="22" s="1"/>
  <c r="C19" i="22" s="1"/>
  <c r="S20" i="21"/>
  <c r="P20" i="22" s="1"/>
  <c r="C20" i="22" s="1"/>
  <c r="Y20" i="22" s="1"/>
  <c r="S21" i="21"/>
  <c r="P21" i="22" s="1"/>
  <c r="S23" i="21"/>
  <c r="P23" i="22" s="1"/>
  <c r="S24" i="21"/>
  <c r="P24" i="22" s="1"/>
  <c r="C24" i="22" s="1"/>
  <c r="S25" i="21"/>
  <c r="P25" i="22" s="1"/>
  <c r="C25" i="22" s="1"/>
  <c r="Y25" i="22" s="1"/>
  <c r="S26" i="21"/>
  <c r="P26" i="22" s="1"/>
  <c r="C26" i="22" s="1"/>
  <c r="S27" i="21"/>
  <c r="P27" i="22" s="1"/>
  <c r="C27" i="22" s="1"/>
  <c r="S28" i="21"/>
  <c r="P28" i="22" s="1"/>
  <c r="C28" i="22" s="1"/>
  <c r="S29" i="21"/>
  <c r="P29" i="22" s="1"/>
  <c r="C29" i="22" s="1"/>
  <c r="S31" i="21"/>
  <c r="P31" i="22" s="1"/>
  <c r="S32" i="21"/>
  <c r="P32" i="22" s="1"/>
  <c r="C32" i="22" s="1"/>
  <c r="S33" i="21"/>
  <c r="P33" i="22" s="1"/>
  <c r="C33" i="22" s="1"/>
  <c r="S34" i="21"/>
  <c r="P34" i="22" s="1"/>
  <c r="C34" i="22" s="1"/>
  <c r="Y34" i="22" s="1"/>
  <c r="S35" i="21"/>
  <c r="P35" i="22" s="1"/>
  <c r="C35" i="22" s="1"/>
  <c r="S36" i="21"/>
  <c r="P36" i="22" s="1"/>
  <c r="C36" i="22" s="1"/>
  <c r="S37" i="21"/>
  <c r="P37" i="22" s="1"/>
  <c r="S6" i="21"/>
  <c r="P6" i="22" s="1"/>
  <c r="R33" i="19"/>
  <c r="L36" i="19"/>
  <c r="J36" i="19"/>
  <c r="K36" i="19"/>
  <c r="G6" i="7"/>
  <c r="H6" i="7"/>
  <c r="F6" i="7"/>
  <c r="I36" i="15"/>
  <c r="B6" i="16"/>
  <c r="D18" i="13"/>
  <c r="H22" i="1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14" i="9"/>
  <c r="B30" i="11"/>
  <c r="B31" i="11"/>
  <c r="B32" i="11"/>
  <c r="B33" i="11"/>
  <c r="B34" i="11"/>
  <c r="B35" i="11"/>
  <c r="B36" i="11"/>
  <c r="B37" i="11"/>
  <c r="B29" i="11"/>
  <c r="N33" i="9"/>
  <c r="F28" i="23"/>
  <c r="H28" i="23"/>
  <c r="E17" i="23"/>
  <c r="E18" i="23"/>
  <c r="E22" i="23"/>
  <c r="E24" i="23"/>
  <c r="E25" i="23"/>
  <c r="E26" i="23"/>
  <c r="E27" i="23"/>
  <c r="E28" i="23"/>
  <c r="E15" i="23"/>
  <c r="C28" i="24"/>
  <c r="B28" i="24"/>
  <c r="B22" i="25" l="1"/>
  <c r="B14" i="25"/>
  <c r="B29" i="25"/>
  <c r="B20" i="25"/>
  <c r="B12" i="25"/>
  <c r="B13" i="25"/>
  <c r="B36" i="25"/>
  <c r="B28" i="25"/>
  <c r="B37" i="25"/>
  <c r="D37" i="25" s="1"/>
  <c r="B21" i="25"/>
  <c r="B35" i="25"/>
  <c r="B27" i="25"/>
  <c r="B19" i="25"/>
  <c r="B11" i="25"/>
  <c r="B30" i="25"/>
  <c r="B34" i="25"/>
  <c r="B10" i="25"/>
  <c r="B26" i="25"/>
  <c r="B33" i="25"/>
  <c r="B25" i="25"/>
  <c r="B17" i="25"/>
  <c r="B18" i="25"/>
  <c r="B32" i="25"/>
  <c r="B24" i="25"/>
  <c r="B16" i="25"/>
  <c r="B31" i="25"/>
  <c r="B23" i="25"/>
  <c r="B15" i="25"/>
  <c r="X22" i="25"/>
  <c r="X29" i="25"/>
  <c r="X36" i="25"/>
  <c r="X28" i="25"/>
  <c r="X20" i="25"/>
  <c r="X12" i="25"/>
  <c r="X30" i="25"/>
  <c r="X21" i="25"/>
  <c r="X37" i="25"/>
  <c r="Y33" i="22"/>
  <c r="C13" i="22"/>
  <c r="C21" i="22"/>
  <c r="X17" i="22"/>
  <c r="U8" i="22"/>
  <c r="X8" i="22"/>
  <c r="C37" i="22"/>
  <c r="Y37" i="22" s="1"/>
  <c r="Y36" i="22"/>
  <c r="Y27" i="22"/>
  <c r="Y9" i="22"/>
  <c r="Y26" i="22"/>
  <c r="Y17" i="22"/>
  <c r="Y11" i="22"/>
  <c r="X32" i="22"/>
  <c r="Y8" i="22"/>
  <c r="Y16" i="22"/>
  <c r="C7" i="22"/>
  <c r="Y7" i="22" s="1"/>
  <c r="X36" i="22"/>
  <c r="X28" i="22"/>
  <c r="X20" i="22"/>
  <c r="X12" i="22"/>
  <c r="U16" i="22"/>
  <c r="X16" i="22" s="1"/>
  <c r="Y24" i="22"/>
  <c r="C15" i="22"/>
  <c r="Y15" i="22" s="1"/>
  <c r="U24" i="22"/>
  <c r="X24" i="22" s="1"/>
  <c r="Y32" i="22"/>
  <c r="C23" i="22"/>
  <c r="Y23" i="22" s="1"/>
  <c r="Y35" i="22"/>
  <c r="C22" i="22"/>
  <c r="Y22" i="22" s="1"/>
  <c r="C31" i="22"/>
  <c r="Y31" i="22" s="1"/>
  <c r="Y28" i="22"/>
  <c r="Y19" i="22"/>
  <c r="X31" i="22"/>
  <c r="X23" i="22"/>
  <c r="X15" i="22"/>
  <c r="X7" i="22"/>
  <c r="C6" i="22"/>
  <c r="Y6" i="22" s="1"/>
  <c r="Y21" i="22"/>
  <c r="Y29" i="22"/>
  <c r="X29" i="22"/>
  <c r="X13" i="22"/>
  <c r="X27" i="22"/>
  <c r="X11" i="22"/>
  <c r="X33" i="22"/>
  <c r="X10" i="22"/>
  <c r="X9" i="22"/>
  <c r="X37" i="22"/>
  <c r="X21" i="22"/>
  <c r="X35" i="22"/>
  <c r="X19" i="22"/>
  <c r="X34" i="22"/>
  <c r="Y13" i="22"/>
  <c r="Y10" i="22"/>
  <c r="X6" i="22"/>
  <c r="X26" i="22"/>
  <c r="V30" i="22"/>
  <c r="Y30" i="22" s="1"/>
  <c r="S33" i="19"/>
  <c r="S32" i="19" s="1"/>
  <c r="S31" i="19" s="1"/>
  <c r="S30" i="19" s="1"/>
  <c r="S29" i="19" s="1"/>
  <c r="S28" i="19" s="1"/>
  <c r="S27" i="19" s="1"/>
  <c r="S26" i="19" s="1"/>
  <c r="H36" i="15"/>
  <c r="E18" i="15"/>
  <c r="I24" i="6"/>
  <c r="I25" i="6"/>
  <c r="H25" i="6"/>
  <c r="H24" i="6"/>
  <c r="H27" i="6"/>
  <c r="H28" i="6" s="1"/>
  <c r="H29" i="6" s="1"/>
  <c r="H30" i="6" s="1"/>
  <c r="I28" i="6"/>
  <c r="I29" i="6"/>
  <c r="I30" i="6" s="1"/>
  <c r="I27" i="6"/>
  <c r="I32" i="6"/>
  <c r="I33" i="6" s="1"/>
  <c r="I34" i="6" s="1"/>
  <c r="I35" i="6" s="1"/>
  <c r="H33" i="6"/>
  <c r="H34" i="6" s="1"/>
  <c r="H35" i="6" s="1"/>
  <c r="H32" i="6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13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6" i="20"/>
  <c r="D33" i="20"/>
  <c r="C33" i="20"/>
  <c r="B33" i="20"/>
  <c r="R27" i="19"/>
  <c r="R28" i="19"/>
  <c r="R29" i="19"/>
  <c r="R30" i="19"/>
  <c r="R31" i="19"/>
  <c r="T31" i="19" s="1"/>
  <c r="G31" i="19" s="1"/>
  <c r="R32" i="19"/>
  <c r="T32" i="19" s="1"/>
  <c r="G32" i="19" s="1"/>
  <c r="R26" i="19"/>
  <c r="O7" i="7"/>
  <c r="P7" i="7"/>
  <c r="P8" i="7"/>
  <c r="P9" i="7"/>
  <c r="O10" i="7"/>
  <c r="P10" i="7"/>
  <c r="O11" i="7"/>
  <c r="P11" i="7"/>
  <c r="P12" i="7"/>
  <c r="O13" i="7"/>
  <c r="O14" i="7"/>
  <c r="P15" i="7"/>
  <c r="O16" i="7"/>
  <c r="O17" i="7"/>
  <c r="O18" i="7"/>
  <c r="O20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7" i="7"/>
  <c r="N21" i="7"/>
  <c r="P21" i="7"/>
  <c r="N22" i="7"/>
  <c r="O22" i="7"/>
  <c r="P22" i="7"/>
  <c r="N23" i="7"/>
  <c r="O23" i="7"/>
  <c r="P23" i="7"/>
  <c r="N24" i="7"/>
  <c r="P24" i="7"/>
  <c r="N25" i="7"/>
  <c r="O25" i="7"/>
  <c r="P25" i="7"/>
  <c r="N26" i="7"/>
  <c r="O26" i="7"/>
  <c r="P26" i="7"/>
  <c r="N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K8" i="7"/>
  <c r="K9" i="7"/>
  <c r="K6" i="7"/>
  <c r="K7" i="7"/>
  <c r="V9" i="18"/>
  <c r="X9" i="18" s="1"/>
  <c r="Z9" i="18" s="1"/>
  <c r="K10" i="7"/>
  <c r="V10" i="18" s="1"/>
  <c r="X10" i="18" s="1"/>
  <c r="Z10" i="18" s="1"/>
  <c r="K11" i="7"/>
  <c r="K12" i="7"/>
  <c r="K13" i="7"/>
  <c r="K14" i="7"/>
  <c r="K15" i="7"/>
  <c r="K16" i="7"/>
  <c r="K17" i="7"/>
  <c r="K18" i="7"/>
  <c r="K19" i="7"/>
  <c r="K20" i="7"/>
  <c r="V20" i="18" s="1"/>
  <c r="X20" i="18" s="1"/>
  <c r="Z20" i="18" s="1"/>
  <c r="K21" i="7"/>
  <c r="K22" i="7"/>
  <c r="K23" i="7"/>
  <c r="V23" i="18" s="1"/>
  <c r="X23" i="18" s="1"/>
  <c r="Z23" i="18" s="1"/>
  <c r="K24" i="7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X12" i="18"/>
  <c r="Z12" i="18" s="1"/>
  <c r="X14" i="18"/>
  <c r="Z14" i="18" s="1"/>
  <c r="B14" i="18" s="1"/>
  <c r="X18" i="18"/>
  <c r="Z18" i="18" s="1"/>
  <c r="X19" i="18"/>
  <c r="Z19" i="18" s="1"/>
  <c r="X22" i="18"/>
  <c r="Z22" i="18" s="1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U7" i="18"/>
  <c r="V7" i="18"/>
  <c r="X7" i="18" s="1"/>
  <c r="Z7" i="18" s="1"/>
  <c r="W7" i="18"/>
  <c r="U8" i="18"/>
  <c r="V8" i="18"/>
  <c r="X8" i="18" s="1"/>
  <c r="Z8" i="18" s="1"/>
  <c r="W8" i="18"/>
  <c r="U9" i="18"/>
  <c r="W9" i="18"/>
  <c r="U10" i="18"/>
  <c r="W10" i="18"/>
  <c r="U11" i="18"/>
  <c r="V11" i="18"/>
  <c r="X11" i="18" s="1"/>
  <c r="Z11" i="18" s="1"/>
  <c r="W11" i="18"/>
  <c r="U12" i="18"/>
  <c r="V12" i="18"/>
  <c r="W12" i="18"/>
  <c r="U13" i="18"/>
  <c r="V13" i="18"/>
  <c r="X13" i="18" s="1"/>
  <c r="Z13" i="18" s="1"/>
  <c r="W13" i="18"/>
  <c r="U14" i="18"/>
  <c r="V14" i="18"/>
  <c r="W14" i="18"/>
  <c r="U15" i="18"/>
  <c r="V15" i="18"/>
  <c r="X15" i="18" s="1"/>
  <c r="Z15" i="18" s="1"/>
  <c r="W15" i="18"/>
  <c r="U16" i="18"/>
  <c r="V16" i="18"/>
  <c r="X16" i="18" s="1"/>
  <c r="Z16" i="18" s="1"/>
  <c r="W16" i="18"/>
  <c r="U17" i="18"/>
  <c r="V17" i="18"/>
  <c r="X17" i="18" s="1"/>
  <c r="Z17" i="18" s="1"/>
  <c r="B17" i="18" s="1"/>
  <c r="W17" i="18"/>
  <c r="U18" i="18"/>
  <c r="V18" i="18"/>
  <c r="W18" i="18"/>
  <c r="U19" i="18"/>
  <c r="V19" i="18"/>
  <c r="W19" i="18"/>
  <c r="U20" i="18"/>
  <c r="W20" i="18"/>
  <c r="U21" i="18"/>
  <c r="V21" i="18"/>
  <c r="X21" i="18" s="1"/>
  <c r="Z21" i="18" s="1"/>
  <c r="W21" i="18"/>
  <c r="U22" i="18"/>
  <c r="V22" i="18"/>
  <c r="W22" i="18"/>
  <c r="U23" i="18"/>
  <c r="W23" i="18"/>
  <c r="U24" i="18"/>
  <c r="V24" i="18"/>
  <c r="X24" i="18" s="1"/>
  <c r="Z24" i="18" s="1"/>
  <c r="W24" i="18"/>
  <c r="U25" i="18"/>
  <c r="V25" i="18"/>
  <c r="W25" i="18"/>
  <c r="U26" i="18"/>
  <c r="V26" i="18"/>
  <c r="W26" i="18"/>
  <c r="U27" i="18"/>
  <c r="V27" i="18"/>
  <c r="W27" i="18"/>
  <c r="U28" i="18"/>
  <c r="V28" i="18"/>
  <c r="W28" i="18"/>
  <c r="U29" i="18"/>
  <c r="V29" i="18"/>
  <c r="W29" i="18"/>
  <c r="U30" i="18"/>
  <c r="V30" i="18"/>
  <c r="W30" i="18"/>
  <c r="U31" i="18"/>
  <c r="V31" i="18"/>
  <c r="W31" i="18"/>
  <c r="U32" i="18"/>
  <c r="V32" i="18"/>
  <c r="W32" i="18"/>
  <c r="U33" i="18"/>
  <c r="V33" i="18"/>
  <c r="W33" i="18"/>
  <c r="U34" i="18"/>
  <c r="V34" i="18"/>
  <c r="W34" i="18"/>
  <c r="U35" i="18"/>
  <c r="V35" i="18"/>
  <c r="W35" i="18"/>
  <c r="U36" i="18"/>
  <c r="V36" i="18"/>
  <c r="W36" i="18"/>
  <c r="U37" i="18"/>
  <c r="V37" i="18"/>
  <c r="W37" i="18"/>
  <c r="V6" i="18"/>
  <c r="X6" i="18" s="1"/>
  <c r="Z6" i="18" s="1"/>
  <c r="W6" i="18"/>
  <c r="U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6" i="18"/>
  <c r="L6" i="7"/>
  <c r="Y6" i="7"/>
  <c r="AR6" i="7"/>
  <c r="J6" i="7" s="1"/>
  <c r="AS6" i="7"/>
  <c r="AT6" i="7"/>
  <c r="AU6" i="7"/>
  <c r="L7" i="7"/>
  <c r="Y7" i="7"/>
  <c r="AR7" i="7"/>
  <c r="AV7" i="7" s="1"/>
  <c r="AS7" i="7"/>
  <c r="AT7" i="7"/>
  <c r="AU7" i="7"/>
  <c r="Y8" i="7"/>
  <c r="AR8" i="7"/>
  <c r="AV8" i="7" s="1"/>
  <c r="AS8" i="7"/>
  <c r="AT8" i="7"/>
  <c r="L8" i="7" s="1"/>
  <c r="AU8" i="7"/>
  <c r="Y9" i="7"/>
  <c r="AR9" i="7"/>
  <c r="J9" i="7" s="1"/>
  <c r="AS9" i="7"/>
  <c r="AT9" i="7"/>
  <c r="L9" i="7" s="1"/>
  <c r="AU9" i="7"/>
  <c r="AV9" i="7"/>
  <c r="J10" i="7"/>
  <c r="Y10" i="7"/>
  <c r="AR10" i="7"/>
  <c r="AS10" i="7"/>
  <c r="AT10" i="7"/>
  <c r="L10" i="7" s="1"/>
  <c r="AU10" i="7"/>
  <c r="AV10" i="7"/>
  <c r="Y11" i="7"/>
  <c r="AR11" i="7"/>
  <c r="AV11" i="7" s="1"/>
  <c r="AS11" i="7"/>
  <c r="AT11" i="7"/>
  <c r="L11" i="7" s="1"/>
  <c r="AU11" i="7"/>
  <c r="Y12" i="7"/>
  <c r="AR12" i="7"/>
  <c r="AV12" i="7" s="1"/>
  <c r="AS12" i="7"/>
  <c r="AT12" i="7"/>
  <c r="L12" i="7" s="1"/>
  <c r="AU12" i="7"/>
  <c r="Y13" i="7"/>
  <c r="AR13" i="7"/>
  <c r="J13" i="7" s="1"/>
  <c r="AS13" i="7"/>
  <c r="AT13" i="7"/>
  <c r="L13" i="7" s="1"/>
  <c r="AU13" i="7"/>
  <c r="AV13" i="7"/>
  <c r="J14" i="7"/>
  <c r="Y14" i="7"/>
  <c r="AR14" i="7"/>
  <c r="AV14" i="7" s="1"/>
  <c r="AS14" i="7"/>
  <c r="AT14" i="7"/>
  <c r="L14" i="7" s="1"/>
  <c r="AU14" i="7"/>
  <c r="Y15" i="7"/>
  <c r="AR15" i="7"/>
  <c r="J15" i="7" s="1"/>
  <c r="AS15" i="7"/>
  <c r="AT15" i="7"/>
  <c r="L15" i="7" s="1"/>
  <c r="AU15" i="7"/>
  <c r="AV15" i="7"/>
  <c r="Y16" i="7"/>
  <c r="AR16" i="7"/>
  <c r="J16" i="7" s="1"/>
  <c r="AS16" i="7"/>
  <c r="S17" i="7" s="1"/>
  <c r="AT16" i="7"/>
  <c r="L16" i="7" s="1"/>
  <c r="AU16" i="7"/>
  <c r="Y17" i="7"/>
  <c r="AR17" i="7"/>
  <c r="AV17" i="7" s="1"/>
  <c r="AS17" i="7"/>
  <c r="AT17" i="7"/>
  <c r="L17" i="7" s="1"/>
  <c r="AU17" i="7"/>
  <c r="Y18" i="7"/>
  <c r="AR18" i="7"/>
  <c r="J18" i="7" s="1"/>
  <c r="AS18" i="7"/>
  <c r="AT18" i="7"/>
  <c r="L18" i="7" s="1"/>
  <c r="T19" i="7" s="1"/>
  <c r="AU18" i="7"/>
  <c r="AV18" i="7"/>
  <c r="Y19" i="7"/>
  <c r="AR19" i="7"/>
  <c r="J19" i="7" s="1"/>
  <c r="AS19" i="7"/>
  <c r="AT19" i="7"/>
  <c r="L19" i="7" s="1"/>
  <c r="AU19" i="7"/>
  <c r="Y20" i="7"/>
  <c r="AR20" i="7"/>
  <c r="J20" i="7" s="1"/>
  <c r="AS20" i="7"/>
  <c r="AT20" i="7"/>
  <c r="L20" i="7" s="1"/>
  <c r="AU20" i="7"/>
  <c r="AV20" i="7"/>
  <c r="Y21" i="7"/>
  <c r="AR21" i="7"/>
  <c r="J21" i="7" s="1"/>
  <c r="R22" i="7" s="1"/>
  <c r="AS21" i="7"/>
  <c r="AT21" i="7"/>
  <c r="L21" i="7" s="1"/>
  <c r="AU21" i="7"/>
  <c r="AV21" i="7"/>
  <c r="J22" i="7"/>
  <c r="Y22" i="7"/>
  <c r="AR22" i="7"/>
  <c r="AS22" i="7"/>
  <c r="AT22" i="7"/>
  <c r="L22" i="7" s="1"/>
  <c r="T23" i="7" s="1"/>
  <c r="AU22" i="7"/>
  <c r="AV22" i="7"/>
  <c r="J23" i="7"/>
  <c r="S24" i="7"/>
  <c r="Y23" i="7"/>
  <c r="AR23" i="7"/>
  <c r="AS23" i="7"/>
  <c r="AT23" i="7"/>
  <c r="L23" i="7" s="1"/>
  <c r="T24" i="7" s="1"/>
  <c r="AU23" i="7"/>
  <c r="AV23" i="7"/>
  <c r="AR24" i="7"/>
  <c r="AV24" i="7" s="1"/>
  <c r="AS24" i="7"/>
  <c r="AT24" i="7"/>
  <c r="L24" i="7" s="1"/>
  <c r="AU24" i="7"/>
  <c r="AR25" i="7"/>
  <c r="J25" i="7" s="1"/>
  <c r="AS25" i="7"/>
  <c r="K25" i="7" s="1"/>
  <c r="AT25" i="7"/>
  <c r="L25" i="7" s="1"/>
  <c r="T26" i="7" s="1"/>
  <c r="AU25" i="7"/>
  <c r="AV25" i="7"/>
  <c r="Y26" i="7"/>
  <c r="AR26" i="7"/>
  <c r="J26" i="7" s="1"/>
  <c r="R27" i="7" s="1"/>
  <c r="AS26" i="7"/>
  <c r="K26" i="7" s="1"/>
  <c r="S27" i="7" s="1"/>
  <c r="AT26" i="7"/>
  <c r="L26" i="7" s="1"/>
  <c r="AU26" i="7"/>
  <c r="AV26" i="7"/>
  <c r="J27" i="7"/>
  <c r="AR27" i="7"/>
  <c r="AS27" i="7"/>
  <c r="K27" i="7" s="1"/>
  <c r="AT27" i="7"/>
  <c r="L27" i="7" s="1"/>
  <c r="AU27" i="7"/>
  <c r="AV27" i="7"/>
  <c r="L28" i="7"/>
  <c r="T29" i="7" s="1"/>
  <c r="AR28" i="7"/>
  <c r="AV28" i="7" s="1"/>
  <c r="AS28" i="7"/>
  <c r="K28" i="7" s="1"/>
  <c r="S29" i="7" s="1"/>
  <c r="AT28" i="7"/>
  <c r="AU28" i="7"/>
  <c r="AR29" i="7"/>
  <c r="AV29" i="7" s="1"/>
  <c r="AS29" i="7"/>
  <c r="K29" i="7" s="1"/>
  <c r="AT29" i="7"/>
  <c r="L29" i="7" s="1"/>
  <c r="AU29" i="7"/>
  <c r="AR30" i="7"/>
  <c r="J30" i="7" s="1"/>
  <c r="R31" i="7" s="1"/>
  <c r="AS30" i="7"/>
  <c r="K30" i="7" s="1"/>
  <c r="AT30" i="7"/>
  <c r="L30" i="7" s="1"/>
  <c r="AU30" i="7"/>
  <c r="AV30" i="7"/>
  <c r="J31" i="7"/>
  <c r="R32" i="7" s="1"/>
  <c r="Y31" i="7"/>
  <c r="AR31" i="7"/>
  <c r="AS31" i="7"/>
  <c r="K31" i="7" s="1"/>
  <c r="S32" i="7" s="1"/>
  <c r="AT31" i="7"/>
  <c r="L31" i="7" s="1"/>
  <c r="AU31" i="7"/>
  <c r="AV31" i="7"/>
  <c r="K32" i="7"/>
  <c r="AR32" i="7"/>
  <c r="J32" i="7" s="1"/>
  <c r="AS32" i="7"/>
  <c r="AT32" i="7"/>
  <c r="L32" i="7" s="1"/>
  <c r="AU32" i="7"/>
  <c r="AR33" i="7"/>
  <c r="AV33" i="7" s="1"/>
  <c r="AS33" i="7"/>
  <c r="K33" i="7" s="1"/>
  <c r="S34" i="7" s="1"/>
  <c r="AT33" i="7"/>
  <c r="L33" i="7" s="1"/>
  <c r="T34" i="7" s="1"/>
  <c r="AU33" i="7"/>
  <c r="AR34" i="7"/>
  <c r="J34" i="7" s="1"/>
  <c r="AS34" i="7"/>
  <c r="K34" i="7" s="1"/>
  <c r="AT34" i="7"/>
  <c r="L34" i="7" s="1"/>
  <c r="T35" i="7" s="1"/>
  <c r="AU34" i="7"/>
  <c r="AV34" i="7"/>
  <c r="AR35" i="7"/>
  <c r="J35" i="7" s="1"/>
  <c r="R36" i="7" s="1"/>
  <c r="AS35" i="7"/>
  <c r="K35" i="7" s="1"/>
  <c r="AT35" i="7"/>
  <c r="L35" i="7" s="1"/>
  <c r="AU35" i="7"/>
  <c r="AV35" i="7"/>
  <c r="J36" i="7"/>
  <c r="K36" i="7"/>
  <c r="S37" i="7" s="1"/>
  <c r="Y36" i="7"/>
  <c r="AR36" i="7"/>
  <c r="AS36" i="7"/>
  <c r="AT36" i="7"/>
  <c r="L36" i="7" s="1"/>
  <c r="T37" i="7" s="1"/>
  <c r="AU36" i="7"/>
  <c r="AV36" i="7"/>
  <c r="L37" i="7"/>
  <c r="AR37" i="7"/>
  <c r="AV37" i="7" s="1"/>
  <c r="AS37" i="7"/>
  <c r="K37" i="7" s="1"/>
  <c r="AT37" i="7"/>
  <c r="AU37" i="7"/>
  <c r="CE21" i="7"/>
  <c r="CF21" i="7"/>
  <c r="CG21" i="7"/>
  <c r="CH21" i="7"/>
  <c r="CE22" i="7"/>
  <c r="CF22" i="7"/>
  <c r="CG22" i="7"/>
  <c r="CH22" i="7"/>
  <c r="CE23" i="7"/>
  <c r="CF23" i="7"/>
  <c r="CG23" i="7"/>
  <c r="CH23" i="7"/>
  <c r="CE24" i="7"/>
  <c r="CF24" i="7"/>
  <c r="CG24" i="7"/>
  <c r="CH24" i="7"/>
  <c r="CE25" i="7"/>
  <c r="CF25" i="7"/>
  <c r="CG25" i="7"/>
  <c r="CH25" i="7"/>
  <c r="CE26" i="7"/>
  <c r="CF26" i="7"/>
  <c r="CG26" i="7"/>
  <c r="CH26" i="7"/>
  <c r="CE27" i="7"/>
  <c r="CF27" i="7"/>
  <c r="CG27" i="7"/>
  <c r="CH27" i="7"/>
  <c r="CE28" i="7"/>
  <c r="CF28" i="7"/>
  <c r="CG28" i="7"/>
  <c r="CH28" i="7"/>
  <c r="CE29" i="7"/>
  <c r="CF29" i="7"/>
  <c r="CG29" i="7"/>
  <c r="CH29" i="7"/>
  <c r="CE30" i="7"/>
  <c r="CF30" i="7"/>
  <c r="CG30" i="7"/>
  <c r="CH30" i="7"/>
  <c r="CE31" i="7"/>
  <c r="CF31" i="7"/>
  <c r="CG31" i="7"/>
  <c r="CH31" i="7"/>
  <c r="CE32" i="7"/>
  <c r="CF32" i="7"/>
  <c r="CG32" i="7"/>
  <c r="CH32" i="7"/>
  <c r="CE33" i="7"/>
  <c r="CF33" i="7"/>
  <c r="CG33" i="7"/>
  <c r="CH33" i="7"/>
  <c r="CE34" i="7"/>
  <c r="CF34" i="7"/>
  <c r="CG34" i="7"/>
  <c r="CH34" i="7"/>
  <c r="CE35" i="7"/>
  <c r="CF35" i="7"/>
  <c r="CG35" i="7"/>
  <c r="CH35" i="7"/>
  <c r="CE36" i="7"/>
  <c r="CF36" i="7"/>
  <c r="CG36" i="7"/>
  <c r="CH36" i="7"/>
  <c r="CE37" i="7"/>
  <c r="CF37" i="7"/>
  <c r="CG37" i="7"/>
  <c r="CH37" i="7"/>
  <c r="D31" i="25" l="1"/>
  <c r="X44" i="25"/>
  <c r="X41" i="25"/>
  <c r="Z8" i="25" s="1"/>
  <c r="X39" i="25"/>
  <c r="X42" i="25"/>
  <c r="Z9" i="25" s="1"/>
  <c r="X45" i="22"/>
  <c r="X43" i="22"/>
  <c r="X42" i="22"/>
  <c r="X40" i="22"/>
  <c r="Y45" i="22"/>
  <c r="Y40" i="22"/>
  <c r="Y46" i="22" s="1"/>
  <c r="Y42" i="22"/>
  <c r="Y43" i="22"/>
  <c r="Y44" i="22" s="1"/>
  <c r="O32" i="21"/>
  <c r="O24" i="21"/>
  <c r="O35" i="21"/>
  <c r="O31" i="21"/>
  <c r="O27" i="21"/>
  <c r="O23" i="21"/>
  <c r="O10" i="21"/>
  <c r="O12" i="21"/>
  <c r="O15" i="21"/>
  <c r="N10" i="21"/>
  <c r="O36" i="21"/>
  <c r="O20" i="21"/>
  <c r="N9" i="21"/>
  <c r="O30" i="21"/>
  <c r="O26" i="21"/>
  <c r="O22" i="21"/>
  <c r="O17" i="21"/>
  <c r="O9" i="21"/>
  <c r="N37" i="21"/>
  <c r="O28" i="21"/>
  <c r="O34" i="21"/>
  <c r="O37" i="21"/>
  <c r="O33" i="21"/>
  <c r="O29" i="21"/>
  <c r="O25" i="21"/>
  <c r="O21" i="21"/>
  <c r="O16" i="21"/>
  <c r="O8" i="21"/>
  <c r="T33" i="19"/>
  <c r="G33" i="19" s="1"/>
  <c r="T30" i="19"/>
  <c r="G30" i="19" s="1"/>
  <c r="O7" i="21"/>
  <c r="O14" i="21"/>
  <c r="N8" i="21"/>
  <c r="O13" i="21"/>
  <c r="O18" i="21"/>
  <c r="O19" i="21"/>
  <c r="O11" i="21"/>
  <c r="N11" i="21"/>
  <c r="Q45" i="20"/>
  <c r="Q43" i="20"/>
  <c r="Q42" i="20"/>
  <c r="Q40" i="20"/>
  <c r="T18" i="7"/>
  <c r="R23" i="7"/>
  <c r="T21" i="7"/>
  <c r="S26" i="7"/>
  <c r="T30" i="7"/>
  <c r="S33" i="7"/>
  <c r="T28" i="7"/>
  <c r="T33" i="7"/>
  <c r="S36" i="7"/>
  <c r="T14" i="7"/>
  <c r="S18" i="7"/>
  <c r="S15" i="7"/>
  <c r="S20" i="7"/>
  <c r="S21" i="7"/>
  <c r="S23" i="7"/>
  <c r="B24" i="18"/>
  <c r="D24" i="18"/>
  <c r="C24" i="18"/>
  <c r="B23" i="18"/>
  <c r="C23" i="18"/>
  <c r="D23" i="18"/>
  <c r="B22" i="18"/>
  <c r="C22" i="18"/>
  <c r="D22" i="18"/>
  <c r="B21" i="18"/>
  <c r="C21" i="18"/>
  <c r="D21" i="18"/>
  <c r="B20" i="18"/>
  <c r="C20" i="18"/>
  <c r="D20" i="18"/>
  <c r="C19" i="18"/>
  <c r="B19" i="18"/>
  <c r="D19" i="18"/>
  <c r="B18" i="18"/>
  <c r="C18" i="18"/>
  <c r="D18" i="18"/>
  <c r="D17" i="18"/>
  <c r="C17" i="18"/>
  <c r="B16" i="18"/>
  <c r="C16" i="18"/>
  <c r="D16" i="18"/>
  <c r="B15" i="18"/>
  <c r="C15" i="18"/>
  <c r="D15" i="18"/>
  <c r="D14" i="18"/>
  <c r="C14" i="18"/>
  <c r="B13" i="18"/>
  <c r="C13" i="18"/>
  <c r="D13" i="18"/>
  <c r="B12" i="18"/>
  <c r="C12" i="18"/>
  <c r="D12" i="18"/>
  <c r="B11" i="18"/>
  <c r="D11" i="18"/>
  <c r="C11" i="18"/>
  <c r="B10" i="18"/>
  <c r="C10" i="18"/>
  <c r="D10" i="18"/>
  <c r="B9" i="18"/>
  <c r="C9" i="18"/>
  <c r="D9" i="18"/>
  <c r="B8" i="18"/>
  <c r="D8" i="18"/>
  <c r="C8" i="18"/>
  <c r="B7" i="18"/>
  <c r="C7" i="18"/>
  <c r="D7" i="18"/>
  <c r="Z42" i="18"/>
  <c r="D6" i="18"/>
  <c r="Z43" i="18"/>
  <c r="B6" i="18"/>
  <c r="Z45" i="18"/>
  <c r="Z40" i="18"/>
  <c r="C6" i="18"/>
  <c r="T10" i="7"/>
  <c r="R28" i="7"/>
  <c r="T11" i="7"/>
  <c r="S35" i="7"/>
  <c r="T31" i="7"/>
  <c r="S30" i="7"/>
  <c r="S28" i="7"/>
  <c r="T27" i="7"/>
  <c r="T25" i="7"/>
  <c r="S19" i="7"/>
  <c r="S16" i="7"/>
  <c r="T13" i="7"/>
  <c r="T12" i="7"/>
  <c r="R10" i="7"/>
  <c r="T9" i="7"/>
  <c r="T7" i="7"/>
  <c r="R26" i="7"/>
  <c r="R19" i="7"/>
  <c r="R20" i="7"/>
  <c r="R37" i="7"/>
  <c r="T22" i="7"/>
  <c r="S14" i="7"/>
  <c r="S13" i="7"/>
  <c r="S9" i="7"/>
  <c r="S22" i="7"/>
  <c r="R14" i="7"/>
  <c r="S10" i="7"/>
  <c r="T32" i="7"/>
  <c r="R21" i="7"/>
  <c r="T36" i="7"/>
  <c r="R24" i="7"/>
  <c r="T15" i="7"/>
  <c r="T16" i="7"/>
  <c r="S7" i="7"/>
  <c r="S8" i="7"/>
  <c r="R35" i="7"/>
  <c r="S31" i="7"/>
  <c r="S25" i="7"/>
  <c r="T20" i="7"/>
  <c r="T17" i="7"/>
  <c r="R15" i="7"/>
  <c r="R16" i="7"/>
  <c r="S11" i="7"/>
  <c r="J11" i="7"/>
  <c r="J28" i="7"/>
  <c r="J24" i="7"/>
  <c r="R25" i="7" s="1"/>
  <c r="J7" i="7"/>
  <c r="J37" i="7"/>
  <c r="AV32" i="7"/>
  <c r="J29" i="7"/>
  <c r="R30" i="7" s="1"/>
  <c r="AV16" i="7"/>
  <c r="R11" i="7"/>
  <c r="J8" i="7"/>
  <c r="AV6" i="7"/>
  <c r="J33" i="7"/>
  <c r="R34" i="7" s="1"/>
  <c r="J17" i="7"/>
  <c r="AV19" i="7"/>
  <c r="T8" i="7"/>
  <c r="S12" i="7"/>
  <c r="J12" i="7"/>
  <c r="Y6" i="25" l="1"/>
  <c r="AF6" i="25" s="1"/>
  <c r="B6" i="25" s="1"/>
  <c r="Z6" i="25"/>
  <c r="X43" i="25"/>
  <c r="Y7" i="25"/>
  <c r="AF7" i="25" s="1"/>
  <c r="Y8" i="25"/>
  <c r="AF8" i="25" s="1"/>
  <c r="Y9" i="25"/>
  <c r="AF9" i="25" s="1"/>
  <c r="X45" i="25"/>
  <c r="X44" i="22"/>
  <c r="X46" i="22"/>
  <c r="F6" i="21"/>
  <c r="N7" i="21"/>
  <c r="E6" i="21"/>
  <c r="T29" i="19"/>
  <c r="G29" i="19" s="1"/>
  <c r="Q44" i="20"/>
  <c r="Q46" i="20"/>
  <c r="G6" i="18"/>
  <c r="H6" i="18"/>
  <c r="F6" i="18"/>
  <c r="Z46" i="18"/>
  <c r="Z44" i="18"/>
  <c r="R17" i="7"/>
  <c r="R33" i="7"/>
  <c r="R13" i="7"/>
  <c r="R29" i="7"/>
  <c r="R18" i="7"/>
  <c r="R8" i="7"/>
  <c r="R9" i="7"/>
  <c r="R12" i="7"/>
  <c r="B8" i="25" l="1"/>
  <c r="B9" i="25"/>
  <c r="B7" i="25"/>
  <c r="T28" i="19"/>
  <c r="G28" i="19" s="1"/>
  <c r="R7" i="7"/>
  <c r="T26" i="19" l="1"/>
  <c r="G26" i="19" s="1"/>
  <c r="T27" i="19"/>
  <c r="G27" i="19" s="1"/>
  <c r="E6" i="2"/>
  <c r="F6" i="2"/>
  <c r="G6" i="2"/>
  <c r="I6" i="2"/>
  <c r="L6" i="2"/>
  <c r="M6" i="2"/>
  <c r="D6" i="2"/>
  <c r="F35" i="17"/>
  <c r="F36" i="17"/>
  <c r="F37" i="17"/>
  <c r="F38" i="17"/>
  <c r="F34" i="17"/>
  <c r="X14" i="16"/>
  <c r="X16" i="16" s="1"/>
  <c r="B17" i="16" l="1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C16" i="16"/>
  <c r="B16" i="16"/>
  <c r="C11" i="16"/>
  <c r="B11" i="16"/>
  <c r="C6" i="16"/>
  <c r="P45" i="16"/>
  <c r="O45" i="16"/>
  <c r="O46" i="16" s="1"/>
  <c r="P43" i="16"/>
  <c r="O43" i="16"/>
  <c r="P42" i="16"/>
  <c r="O42" i="16"/>
  <c r="P40" i="16"/>
  <c r="O40" i="16"/>
  <c r="B7" i="14"/>
  <c r="L7" i="16" s="1"/>
  <c r="C7" i="14"/>
  <c r="M7" i="16" s="1"/>
  <c r="B8" i="14"/>
  <c r="L8" i="16" s="1"/>
  <c r="C8" i="14"/>
  <c r="M8" i="16" s="1"/>
  <c r="B9" i="14"/>
  <c r="L9" i="16" s="1"/>
  <c r="C9" i="14"/>
  <c r="M9" i="16" s="1"/>
  <c r="B10" i="14"/>
  <c r="L10" i="16" s="1"/>
  <c r="C10" i="14"/>
  <c r="M10" i="16" s="1"/>
  <c r="B11" i="14"/>
  <c r="L11" i="16" s="1"/>
  <c r="C11" i="14"/>
  <c r="M11" i="16" s="1"/>
  <c r="B12" i="14"/>
  <c r="L12" i="16" s="1"/>
  <c r="C12" i="14"/>
  <c r="M12" i="16" s="1"/>
  <c r="B13" i="14"/>
  <c r="L13" i="16" s="1"/>
  <c r="C13" i="14"/>
  <c r="M13" i="16" s="1"/>
  <c r="B14" i="14"/>
  <c r="L14" i="16" s="1"/>
  <c r="R14" i="16" s="1"/>
  <c r="E14" i="16" s="1"/>
  <c r="C14" i="14"/>
  <c r="M14" i="16" s="1"/>
  <c r="S14" i="16" s="1"/>
  <c r="F14" i="16" s="1"/>
  <c r="B15" i="14"/>
  <c r="L15" i="16" s="1"/>
  <c r="R15" i="16" s="1"/>
  <c r="E15" i="16" s="1"/>
  <c r="C15" i="14"/>
  <c r="M15" i="16" s="1"/>
  <c r="S15" i="16" s="1"/>
  <c r="F15" i="16" s="1"/>
  <c r="B16" i="14"/>
  <c r="L16" i="16" s="1"/>
  <c r="R16" i="16" s="1"/>
  <c r="E16" i="16" s="1"/>
  <c r="C16" i="14"/>
  <c r="M16" i="16" s="1"/>
  <c r="S16" i="16" s="1"/>
  <c r="F16" i="16" s="1"/>
  <c r="B17" i="14"/>
  <c r="L17" i="16" s="1"/>
  <c r="R17" i="16" s="1"/>
  <c r="E17" i="16" s="1"/>
  <c r="C17" i="14"/>
  <c r="M17" i="16" s="1"/>
  <c r="S17" i="16" s="1"/>
  <c r="F17" i="16" s="1"/>
  <c r="B18" i="14"/>
  <c r="L18" i="16" s="1"/>
  <c r="R18" i="16" s="1"/>
  <c r="E18" i="16" s="1"/>
  <c r="C18" i="14"/>
  <c r="M18" i="16" s="1"/>
  <c r="S18" i="16" s="1"/>
  <c r="F18" i="16" s="1"/>
  <c r="B19" i="14"/>
  <c r="L19" i="16" s="1"/>
  <c r="R19" i="16" s="1"/>
  <c r="E19" i="16" s="1"/>
  <c r="C19" i="14"/>
  <c r="M19" i="16" s="1"/>
  <c r="S19" i="16" s="1"/>
  <c r="F19" i="16" s="1"/>
  <c r="B20" i="14"/>
  <c r="L20" i="16" s="1"/>
  <c r="R20" i="16" s="1"/>
  <c r="E20" i="16" s="1"/>
  <c r="C20" i="14"/>
  <c r="M20" i="16" s="1"/>
  <c r="S20" i="16" s="1"/>
  <c r="F20" i="16" s="1"/>
  <c r="B21" i="14"/>
  <c r="L21" i="16" s="1"/>
  <c r="R21" i="16" s="1"/>
  <c r="E21" i="16" s="1"/>
  <c r="C21" i="14"/>
  <c r="M21" i="16" s="1"/>
  <c r="S21" i="16" s="1"/>
  <c r="F21" i="16" s="1"/>
  <c r="B22" i="14"/>
  <c r="L22" i="16" s="1"/>
  <c r="R22" i="16" s="1"/>
  <c r="E22" i="16" s="1"/>
  <c r="C22" i="14"/>
  <c r="M22" i="16" s="1"/>
  <c r="S22" i="16" s="1"/>
  <c r="F22" i="16" s="1"/>
  <c r="B23" i="14"/>
  <c r="L23" i="16" s="1"/>
  <c r="R23" i="16" s="1"/>
  <c r="E23" i="16" s="1"/>
  <c r="C23" i="14"/>
  <c r="M23" i="16" s="1"/>
  <c r="S23" i="16" s="1"/>
  <c r="F23" i="16" s="1"/>
  <c r="B24" i="14"/>
  <c r="L24" i="16" s="1"/>
  <c r="R24" i="16" s="1"/>
  <c r="E24" i="16" s="1"/>
  <c r="C24" i="14"/>
  <c r="M24" i="16" s="1"/>
  <c r="S24" i="16" s="1"/>
  <c r="F24" i="16" s="1"/>
  <c r="B25" i="14"/>
  <c r="L25" i="16" s="1"/>
  <c r="R25" i="16" s="1"/>
  <c r="E25" i="16" s="1"/>
  <c r="C25" i="14"/>
  <c r="M25" i="16" s="1"/>
  <c r="S25" i="16" s="1"/>
  <c r="F25" i="16" s="1"/>
  <c r="B26" i="14"/>
  <c r="L26" i="16" s="1"/>
  <c r="R26" i="16" s="1"/>
  <c r="E26" i="16" s="1"/>
  <c r="C26" i="14"/>
  <c r="M26" i="16" s="1"/>
  <c r="S26" i="16" s="1"/>
  <c r="F26" i="16" s="1"/>
  <c r="B27" i="14"/>
  <c r="L27" i="16" s="1"/>
  <c r="R27" i="16" s="1"/>
  <c r="E27" i="16" s="1"/>
  <c r="C27" i="14"/>
  <c r="M27" i="16" s="1"/>
  <c r="S27" i="16" s="1"/>
  <c r="F27" i="16" s="1"/>
  <c r="B28" i="14"/>
  <c r="L28" i="16" s="1"/>
  <c r="R28" i="16" s="1"/>
  <c r="E28" i="16" s="1"/>
  <c r="C28" i="14"/>
  <c r="M28" i="16" s="1"/>
  <c r="S28" i="16" s="1"/>
  <c r="F28" i="16" s="1"/>
  <c r="B29" i="14"/>
  <c r="L29" i="16" s="1"/>
  <c r="R29" i="16" s="1"/>
  <c r="E29" i="16" s="1"/>
  <c r="C29" i="14"/>
  <c r="M29" i="16" s="1"/>
  <c r="S29" i="16" s="1"/>
  <c r="F29" i="16" s="1"/>
  <c r="B30" i="14"/>
  <c r="L30" i="16" s="1"/>
  <c r="R30" i="16" s="1"/>
  <c r="E30" i="16" s="1"/>
  <c r="C30" i="14"/>
  <c r="M30" i="16" s="1"/>
  <c r="S30" i="16" s="1"/>
  <c r="F30" i="16" s="1"/>
  <c r="B31" i="14"/>
  <c r="L31" i="16" s="1"/>
  <c r="R31" i="16" s="1"/>
  <c r="E31" i="16" s="1"/>
  <c r="C31" i="14"/>
  <c r="M31" i="16" s="1"/>
  <c r="S31" i="16" s="1"/>
  <c r="F31" i="16" s="1"/>
  <c r="B32" i="14"/>
  <c r="L32" i="16" s="1"/>
  <c r="R32" i="16" s="1"/>
  <c r="E32" i="16" s="1"/>
  <c r="C32" i="14"/>
  <c r="M32" i="16" s="1"/>
  <c r="S32" i="16" s="1"/>
  <c r="F32" i="16" s="1"/>
  <c r="B33" i="14"/>
  <c r="L33" i="16" s="1"/>
  <c r="R33" i="16" s="1"/>
  <c r="E33" i="16" s="1"/>
  <c r="C33" i="14"/>
  <c r="M33" i="16" s="1"/>
  <c r="S33" i="16" s="1"/>
  <c r="F33" i="16" s="1"/>
  <c r="B34" i="14"/>
  <c r="L34" i="16" s="1"/>
  <c r="R34" i="16" s="1"/>
  <c r="E34" i="16" s="1"/>
  <c r="C34" i="14"/>
  <c r="M34" i="16" s="1"/>
  <c r="S34" i="16" s="1"/>
  <c r="F34" i="16" s="1"/>
  <c r="B35" i="14"/>
  <c r="L35" i="16" s="1"/>
  <c r="R35" i="16" s="1"/>
  <c r="E35" i="16" s="1"/>
  <c r="C35" i="14"/>
  <c r="M35" i="16" s="1"/>
  <c r="S35" i="16" s="1"/>
  <c r="F35" i="16" s="1"/>
  <c r="B36" i="14"/>
  <c r="L36" i="16" s="1"/>
  <c r="R36" i="16" s="1"/>
  <c r="E36" i="16" s="1"/>
  <c r="C36" i="14"/>
  <c r="M36" i="16" s="1"/>
  <c r="S36" i="16" s="1"/>
  <c r="F36" i="16" s="1"/>
  <c r="B37" i="14"/>
  <c r="L37" i="16" s="1"/>
  <c r="R37" i="16" s="1"/>
  <c r="E37" i="16" s="1"/>
  <c r="C37" i="14"/>
  <c r="M37" i="16" s="1"/>
  <c r="S37" i="16" s="1"/>
  <c r="F37" i="16" s="1"/>
  <c r="C6" i="14"/>
  <c r="M6" i="16" s="1"/>
  <c r="B6" i="14"/>
  <c r="L6" i="16" s="1"/>
  <c r="O44" i="16" l="1"/>
  <c r="P46" i="16"/>
  <c r="P44" i="16"/>
  <c r="D7" i="13"/>
  <c r="D8" i="13"/>
  <c r="D9" i="13"/>
  <c r="D10" i="13"/>
  <c r="D11" i="13"/>
  <c r="D12" i="13"/>
  <c r="D13" i="13"/>
  <c r="D14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6" i="13"/>
  <c r="Q45" i="13"/>
  <c r="Q46" i="13" s="1"/>
  <c r="Q43" i="13"/>
  <c r="Q44" i="13" s="1"/>
  <c r="Q42" i="13"/>
  <c r="Q40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6" i="1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D31" i="17"/>
  <c r="B6" i="13"/>
  <c r="J6" i="13"/>
  <c r="L6" i="13"/>
  <c r="I6" i="13"/>
  <c r="G6" i="13"/>
  <c r="F49" i="17" l="1"/>
  <c r="F48" i="17"/>
  <c r="Q35" i="17"/>
  <c r="Q36" i="17"/>
  <c r="Q37" i="17"/>
  <c r="Q38" i="17"/>
  <c r="Q34" i="17"/>
  <c r="N40" i="4"/>
  <c r="Y5" i="4" l="1"/>
  <c r="Y37" i="4"/>
  <c r="Y38" i="4"/>
  <c r="BG33" i="12" l="1"/>
  <c r="BF33" i="12"/>
  <c r="BE33" i="12"/>
  <c r="O7" i="12" l="1"/>
  <c r="O8" i="12"/>
  <c r="O9" i="12"/>
  <c r="O10" i="12"/>
  <c r="O11" i="12"/>
  <c r="O12" i="12"/>
  <c r="O13" i="12"/>
  <c r="O14" i="12"/>
  <c r="O15" i="12"/>
  <c r="O34" i="12"/>
  <c r="O35" i="12"/>
  <c r="O36" i="12"/>
  <c r="O37" i="12"/>
  <c r="O38" i="12"/>
  <c r="O6" i="12"/>
  <c r="O21" i="12" l="1"/>
  <c r="O18" i="12"/>
  <c r="O17" i="12"/>
  <c r="O20" i="12"/>
  <c r="O27" i="12"/>
  <c r="O25" i="12"/>
  <c r="O32" i="12"/>
  <c r="O16" i="12"/>
  <c r="O23" i="12"/>
  <c r="O29" i="12"/>
  <c r="O28" i="12"/>
  <c r="O19" i="12"/>
  <c r="O26" i="12"/>
  <c r="S33" i="12"/>
  <c r="O33" i="12"/>
  <c r="P33" i="12" s="1"/>
  <c r="M33" i="12"/>
  <c r="O24" i="12"/>
  <c r="O31" i="12"/>
  <c r="O30" i="12"/>
  <c r="O22" i="12"/>
  <c r="AW28" i="12"/>
  <c r="BC28" i="12" s="1"/>
  <c r="AW29" i="12"/>
  <c r="BC29" i="12" s="1"/>
  <c r="Q29" i="12" s="1"/>
  <c r="AW30" i="12"/>
  <c r="BC30" i="12" s="1"/>
  <c r="AW31" i="12"/>
  <c r="BC31" i="12" s="1"/>
  <c r="T31" i="12" s="1"/>
  <c r="AW32" i="12"/>
  <c r="BC32" i="12" s="1"/>
  <c r="T32" i="12" s="1"/>
  <c r="AW27" i="12"/>
  <c r="BC27" i="12" s="1"/>
  <c r="AV27" i="12"/>
  <c r="BB27" i="12" s="1"/>
  <c r="M27" i="12" s="1"/>
  <c r="AV28" i="12"/>
  <c r="BB28" i="12" s="1"/>
  <c r="M28" i="12" s="1"/>
  <c r="AV29" i="12"/>
  <c r="BB29" i="12" s="1"/>
  <c r="M29" i="12" s="1"/>
  <c r="AV30" i="12"/>
  <c r="BB30" i="12" s="1"/>
  <c r="M30" i="12" s="1"/>
  <c r="AV31" i="12"/>
  <c r="BB31" i="12" s="1"/>
  <c r="M31" i="12" s="1"/>
  <c r="AV32" i="12"/>
  <c r="BB32" i="12" s="1"/>
  <c r="M32" i="12" s="1"/>
  <c r="AV26" i="12"/>
  <c r="BB26" i="12" s="1"/>
  <c r="M26" i="12" s="1"/>
  <c r="Q28" i="12" l="1"/>
  <c r="Q27" i="12"/>
  <c r="Q31" i="12"/>
  <c r="Q30" i="12"/>
  <c r="T28" i="12"/>
  <c r="T29" i="12"/>
  <c r="Q32" i="12"/>
  <c r="T30" i="12"/>
  <c r="T27" i="12"/>
  <c r="AQ26" i="12"/>
  <c r="AN26" i="12"/>
  <c r="AI26" i="12"/>
  <c r="AJ26" i="12"/>
  <c r="AS26" i="12" s="1"/>
  <c r="AP17" i="12"/>
  <c r="AO16" i="12"/>
  <c r="AO17" i="12" s="1"/>
  <c r="AO18" i="12" s="1"/>
  <c r="AL16" i="12"/>
  <c r="AL17" i="12" s="1"/>
  <c r="AL18" i="12" s="1"/>
  <c r="AL19" i="12" s="1"/>
  <c r="AL20" i="12" s="1"/>
  <c r="AL21" i="12" s="1"/>
  <c r="AL22" i="12" s="1"/>
  <c r="AN16" i="12" l="1"/>
  <c r="AQ16" i="12"/>
  <c r="AQ17" i="12"/>
  <c r="AK26" i="12"/>
  <c r="AT26" i="12" s="1"/>
  <c r="AR26" i="12"/>
  <c r="AO19" i="12"/>
  <c r="AI18" i="12"/>
  <c r="AR18" i="12" s="1"/>
  <c r="AP18" i="12"/>
  <c r="AI16" i="12"/>
  <c r="AR16" i="12" s="1"/>
  <c r="AI17" i="12"/>
  <c r="AR17" i="12" s="1"/>
  <c r="AL23" i="12"/>
  <c r="S26" i="12" l="1"/>
  <c r="P26" i="12"/>
  <c r="AO20" i="12"/>
  <c r="AO21" i="12" s="1"/>
  <c r="AP19" i="12"/>
  <c r="AP20" i="12" s="1"/>
  <c r="AP21" i="12" s="1"/>
  <c r="AQ18" i="12"/>
  <c r="AI19" i="12"/>
  <c r="AR19" i="12" s="1"/>
  <c r="AL24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12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Q21" i="12" l="1"/>
  <c r="AI20" i="12"/>
  <c r="AR20" i="12" s="1"/>
  <c r="AQ19" i="12"/>
  <c r="AQ20" i="12"/>
  <c r="AO22" i="12"/>
  <c r="AI21" i="12"/>
  <c r="AR21" i="12" s="1"/>
  <c r="AP22" i="12"/>
  <c r="AL25" i="12"/>
  <c r="AA44" i="11"/>
  <c r="AB41" i="11"/>
  <c r="AA39" i="11"/>
  <c r="H34" i="11" s="1"/>
  <c r="AB39" i="11"/>
  <c r="AA41" i="11"/>
  <c r="AA42" i="11"/>
  <c r="AB42" i="11"/>
  <c r="AB44" i="11"/>
  <c r="H23" i="11" l="1"/>
  <c r="AA43" i="11"/>
  <c r="H31" i="11"/>
  <c r="H24" i="11"/>
  <c r="H25" i="11"/>
  <c r="H26" i="11"/>
  <c r="AQ22" i="12"/>
  <c r="AP23" i="12"/>
  <c r="AO23" i="12"/>
  <c r="AI22" i="12"/>
  <c r="AR22" i="12" s="1"/>
  <c r="H28" i="11"/>
  <c r="H29" i="11"/>
  <c r="H27" i="11"/>
  <c r="H30" i="11"/>
  <c r="H32" i="11"/>
  <c r="H33" i="11"/>
  <c r="AB43" i="11"/>
  <c r="AA45" i="11"/>
  <c r="AB45" i="11"/>
  <c r="AQ23" i="12" l="1"/>
  <c r="AP24" i="12"/>
  <c r="AO24" i="12"/>
  <c r="AI23" i="12"/>
  <c r="AR23" i="12" s="1"/>
  <c r="AK6" i="9"/>
  <c r="AL6" i="9"/>
  <c r="AN6" i="9"/>
  <c r="AO6" i="9"/>
  <c r="AP6" i="9"/>
  <c r="AQ6" i="9"/>
  <c r="AK7" i="9"/>
  <c r="AL7" i="9"/>
  <c r="AN7" i="9"/>
  <c r="AO7" i="9"/>
  <c r="AP7" i="9"/>
  <c r="AQ7" i="9"/>
  <c r="AK8" i="9"/>
  <c r="AL8" i="9"/>
  <c r="AN8" i="9"/>
  <c r="AO8" i="9"/>
  <c r="AP8" i="9"/>
  <c r="AQ8" i="9"/>
  <c r="AK9" i="9"/>
  <c r="AL9" i="9"/>
  <c r="AN9" i="9"/>
  <c r="AO9" i="9"/>
  <c r="AP9" i="9"/>
  <c r="AQ9" i="9"/>
  <c r="AK10" i="9"/>
  <c r="AL10" i="9"/>
  <c r="AN10" i="9"/>
  <c r="AO10" i="9"/>
  <c r="AP10" i="9"/>
  <c r="AQ10" i="9"/>
  <c r="AK11" i="9"/>
  <c r="AL11" i="9"/>
  <c r="AN11" i="9"/>
  <c r="AO11" i="9"/>
  <c r="AP11" i="9"/>
  <c r="AQ11" i="9"/>
  <c r="AK12" i="9"/>
  <c r="AL12" i="9"/>
  <c r="AN12" i="9"/>
  <c r="AO12" i="9"/>
  <c r="AP12" i="9"/>
  <c r="AQ12" i="9"/>
  <c r="AK13" i="9"/>
  <c r="AL13" i="9"/>
  <c r="AN13" i="9"/>
  <c r="AO13" i="9"/>
  <c r="AP13" i="9"/>
  <c r="AQ13" i="9"/>
  <c r="AK14" i="9"/>
  <c r="AL14" i="9"/>
  <c r="AN14" i="9"/>
  <c r="AO14" i="9"/>
  <c r="AP14" i="9"/>
  <c r="AQ14" i="9"/>
  <c r="AK15" i="9"/>
  <c r="AL15" i="9"/>
  <c r="AN15" i="9"/>
  <c r="AO15" i="9"/>
  <c r="AP15" i="9"/>
  <c r="AQ15" i="9"/>
  <c r="AK16" i="9"/>
  <c r="AL16" i="9"/>
  <c r="AN16" i="9"/>
  <c r="AO16" i="9"/>
  <c r="AP16" i="9"/>
  <c r="AQ16" i="9"/>
  <c r="AK17" i="9"/>
  <c r="AL17" i="9"/>
  <c r="AO17" i="9"/>
  <c r="AP17" i="9"/>
  <c r="AQ17" i="9"/>
  <c r="AK18" i="9"/>
  <c r="AL18" i="9"/>
  <c r="AO18" i="9"/>
  <c r="AP18" i="9"/>
  <c r="AQ18" i="9"/>
  <c r="AK19" i="9"/>
  <c r="AL19" i="9"/>
  <c r="AO19" i="9"/>
  <c r="AP19" i="9"/>
  <c r="AQ19" i="9"/>
  <c r="AK20" i="9"/>
  <c r="AL20" i="9"/>
  <c r="AO20" i="9"/>
  <c r="AQ20" i="9"/>
  <c r="BN38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1" i="2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6" i="9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6" i="11"/>
  <c r="AM37" i="11"/>
  <c r="AL37" i="11"/>
  <c r="AJ37" i="11"/>
  <c r="AI37" i="11"/>
  <c r="AH37" i="11"/>
  <c r="AM36" i="11"/>
  <c r="AL36" i="11"/>
  <c r="AJ36" i="11"/>
  <c r="AI36" i="11"/>
  <c r="AH36" i="11"/>
  <c r="AM35" i="11"/>
  <c r="AL35" i="11"/>
  <c r="AJ35" i="11"/>
  <c r="AI35" i="11"/>
  <c r="AH35" i="11"/>
  <c r="AM34" i="11"/>
  <c r="AL34" i="11"/>
  <c r="AJ34" i="11"/>
  <c r="AI34" i="11"/>
  <c r="AH34" i="11"/>
  <c r="AM33" i="11"/>
  <c r="AL33" i="11"/>
  <c r="AJ33" i="11"/>
  <c r="AI33" i="11"/>
  <c r="AH33" i="11"/>
  <c r="AM32" i="11"/>
  <c r="AL32" i="11"/>
  <c r="AJ32" i="11"/>
  <c r="AI32" i="11"/>
  <c r="AH32" i="11"/>
  <c r="AM31" i="11"/>
  <c r="AL31" i="11"/>
  <c r="AJ31" i="11"/>
  <c r="AI31" i="11"/>
  <c r="AH31" i="11"/>
  <c r="AM30" i="11"/>
  <c r="AL30" i="11"/>
  <c r="AJ30" i="11"/>
  <c r="AI30" i="11"/>
  <c r="AH30" i="11"/>
  <c r="AM29" i="11"/>
  <c r="AL29" i="11"/>
  <c r="AJ29" i="11"/>
  <c r="AI29" i="11"/>
  <c r="AH29" i="11"/>
  <c r="AM28" i="11"/>
  <c r="AL28" i="11"/>
  <c r="AJ28" i="11"/>
  <c r="AI28" i="11"/>
  <c r="AH28" i="11"/>
  <c r="AM27" i="11"/>
  <c r="AL27" i="11"/>
  <c r="AJ27" i="11"/>
  <c r="AI27" i="11"/>
  <c r="AH27" i="11"/>
  <c r="AM26" i="11"/>
  <c r="AL26" i="11"/>
  <c r="AJ26" i="11"/>
  <c r="AI26" i="11"/>
  <c r="AH26" i="11"/>
  <c r="AM25" i="11"/>
  <c r="AL25" i="11"/>
  <c r="AJ25" i="11"/>
  <c r="AI25" i="11"/>
  <c r="AH25" i="11"/>
  <c r="AM24" i="11"/>
  <c r="AL24" i="11"/>
  <c r="AJ24" i="11"/>
  <c r="AI24" i="11"/>
  <c r="AH24" i="11"/>
  <c r="AM23" i="11"/>
  <c r="AL23" i="11"/>
  <c r="AJ23" i="11"/>
  <c r="AI23" i="11"/>
  <c r="AH23" i="11"/>
  <c r="AM22" i="11"/>
  <c r="AL22" i="11"/>
  <c r="AJ22" i="11"/>
  <c r="AI22" i="11"/>
  <c r="AH22" i="11"/>
  <c r="AM21" i="11"/>
  <c r="AL21" i="11"/>
  <c r="AJ21" i="11"/>
  <c r="AI21" i="11"/>
  <c r="AH21" i="11"/>
  <c r="AM20" i="11"/>
  <c r="AL20" i="11"/>
  <c r="AJ20" i="11"/>
  <c r="AI20" i="11"/>
  <c r="AH20" i="11"/>
  <c r="AM19" i="11"/>
  <c r="AL19" i="11"/>
  <c r="AJ19" i="11"/>
  <c r="AI19" i="11"/>
  <c r="AH19" i="11"/>
  <c r="AM18" i="11"/>
  <c r="AL18" i="11"/>
  <c r="AJ18" i="11"/>
  <c r="AI18" i="11"/>
  <c r="AH18" i="11"/>
  <c r="AM17" i="11"/>
  <c r="AL17" i="11"/>
  <c r="AJ17" i="11"/>
  <c r="AI17" i="11"/>
  <c r="AH17" i="11"/>
  <c r="AM16" i="11"/>
  <c r="AL16" i="11"/>
  <c r="AJ16" i="11"/>
  <c r="AI16" i="11"/>
  <c r="AH16" i="11"/>
  <c r="AM15" i="11"/>
  <c r="AL15" i="11"/>
  <c r="AJ15" i="11"/>
  <c r="AI15" i="11"/>
  <c r="AH15" i="11"/>
  <c r="AM14" i="11"/>
  <c r="AL14" i="11"/>
  <c r="AJ14" i="11"/>
  <c r="AI14" i="11"/>
  <c r="AH14" i="11"/>
  <c r="AM13" i="11"/>
  <c r="AL13" i="11"/>
  <c r="AJ13" i="11"/>
  <c r="AI13" i="11"/>
  <c r="AH13" i="11"/>
  <c r="AM12" i="11"/>
  <c r="AL12" i="11"/>
  <c r="AJ12" i="11"/>
  <c r="AI12" i="11"/>
  <c r="AH12" i="11"/>
  <c r="AM11" i="11"/>
  <c r="AL11" i="11"/>
  <c r="AJ11" i="11"/>
  <c r="AI11" i="11"/>
  <c r="AH11" i="11"/>
  <c r="AM10" i="11"/>
  <c r="AL10" i="11"/>
  <c r="AJ10" i="11"/>
  <c r="AI10" i="11"/>
  <c r="AH10" i="11"/>
  <c r="AH9" i="11"/>
  <c r="AH8" i="11"/>
  <c r="AH7" i="11"/>
  <c r="AH6" i="11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B10" i="9"/>
  <c r="AA10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6" i="9"/>
  <c r="N31" i="9" l="1"/>
  <c r="AQ31" i="11" s="1"/>
  <c r="N23" i="9"/>
  <c r="AQ23" i="11" s="1"/>
  <c r="N15" i="9"/>
  <c r="AQ15" i="11" s="1"/>
  <c r="N30" i="9"/>
  <c r="AQ30" i="11" s="1"/>
  <c r="E13" i="9"/>
  <c r="E19" i="9"/>
  <c r="F18" i="9"/>
  <c r="I15" i="9"/>
  <c r="J14" i="9"/>
  <c r="K13" i="9"/>
  <c r="E11" i="9"/>
  <c r="F10" i="9"/>
  <c r="I19" i="9"/>
  <c r="N22" i="9"/>
  <c r="AQ22" i="11" s="1"/>
  <c r="E18" i="9"/>
  <c r="I14" i="9"/>
  <c r="J13" i="9"/>
  <c r="E10" i="9"/>
  <c r="N14" i="9"/>
  <c r="AQ14" i="11" s="1"/>
  <c r="I13" i="9"/>
  <c r="J12" i="9"/>
  <c r="K20" i="9"/>
  <c r="E17" i="9"/>
  <c r="I20" i="9"/>
  <c r="K18" i="9"/>
  <c r="I12" i="9"/>
  <c r="F11" i="9"/>
  <c r="F17" i="9"/>
  <c r="K12" i="9"/>
  <c r="K17" i="9"/>
  <c r="H15" i="9"/>
  <c r="H14" i="9"/>
  <c r="K11" i="9"/>
  <c r="H13" i="9"/>
  <c r="E15" i="9"/>
  <c r="F14" i="9"/>
  <c r="H12" i="9"/>
  <c r="J19" i="9"/>
  <c r="I18" i="9"/>
  <c r="J17" i="9"/>
  <c r="K16" i="9"/>
  <c r="E14" i="9"/>
  <c r="F13" i="9"/>
  <c r="I10" i="9"/>
  <c r="K19" i="9"/>
  <c r="K10" i="9"/>
  <c r="F15" i="9"/>
  <c r="J11" i="9"/>
  <c r="K15" i="9"/>
  <c r="K14" i="9"/>
  <c r="H16" i="9"/>
  <c r="E16" i="9"/>
  <c r="N32" i="9"/>
  <c r="AQ32" i="11" s="1"/>
  <c r="N24" i="9"/>
  <c r="AQ24" i="11" s="1"/>
  <c r="E20" i="9"/>
  <c r="N16" i="9"/>
  <c r="AQ16" i="11" s="1"/>
  <c r="E12" i="9"/>
  <c r="I16" i="9"/>
  <c r="J15" i="9"/>
  <c r="AQ24" i="12"/>
  <c r="AO25" i="12"/>
  <c r="AI24" i="12"/>
  <c r="AR24" i="12" s="1"/>
  <c r="AP25" i="12"/>
  <c r="I11" i="9"/>
  <c r="N37" i="9"/>
  <c r="AQ37" i="11" s="1"/>
  <c r="N29" i="9"/>
  <c r="AQ29" i="11" s="1"/>
  <c r="N21" i="9"/>
  <c r="AQ21" i="11" s="1"/>
  <c r="N13" i="9"/>
  <c r="AQ13" i="11" s="1"/>
  <c r="F20" i="9"/>
  <c r="J18" i="9"/>
  <c r="F16" i="9"/>
  <c r="F12" i="9"/>
  <c r="H11" i="9"/>
  <c r="J10" i="9"/>
  <c r="N36" i="9"/>
  <c r="AQ36" i="11" s="1"/>
  <c r="N28" i="9"/>
  <c r="AQ28" i="11" s="1"/>
  <c r="N20" i="9"/>
  <c r="AQ20" i="11" s="1"/>
  <c r="N12" i="9"/>
  <c r="AQ12" i="11" s="1"/>
  <c r="N35" i="9"/>
  <c r="AQ35" i="11" s="1"/>
  <c r="N27" i="9"/>
  <c r="AQ27" i="11" s="1"/>
  <c r="N19" i="9"/>
  <c r="AQ19" i="11" s="1"/>
  <c r="N11" i="9"/>
  <c r="AQ11" i="11" s="1"/>
  <c r="F19" i="9"/>
  <c r="H10" i="9"/>
  <c r="N34" i="9"/>
  <c r="AQ34" i="11" s="1"/>
  <c r="N26" i="9"/>
  <c r="AQ26" i="11" s="1"/>
  <c r="N18" i="9"/>
  <c r="AQ18" i="11" s="1"/>
  <c r="N10" i="9"/>
  <c r="AQ10" i="11" s="1"/>
  <c r="I17" i="9"/>
  <c r="AQ33" i="11"/>
  <c r="N25" i="9"/>
  <c r="AQ25" i="11" s="1"/>
  <c r="N17" i="9"/>
  <c r="AQ17" i="11" s="1"/>
  <c r="J16" i="9"/>
  <c r="M10" i="11"/>
  <c r="M14" i="11"/>
  <c r="AL6" i="11"/>
  <c r="AJ44" i="11"/>
  <c r="AJ42" i="11"/>
  <c r="M13" i="11"/>
  <c r="M12" i="11"/>
  <c r="M20" i="11"/>
  <c r="M28" i="11"/>
  <c r="M15" i="11"/>
  <c r="N15" i="11" s="1"/>
  <c r="M19" i="11"/>
  <c r="M23" i="11"/>
  <c r="M27" i="11"/>
  <c r="M31" i="11"/>
  <c r="N31" i="11" s="1"/>
  <c r="M35" i="11"/>
  <c r="M16" i="11"/>
  <c r="AI42" i="11"/>
  <c r="M32" i="11"/>
  <c r="M36" i="11"/>
  <c r="M11" i="11"/>
  <c r="M18" i="11"/>
  <c r="M22" i="11"/>
  <c r="M26" i="11"/>
  <c r="M30" i="11"/>
  <c r="N30" i="11" s="1"/>
  <c r="M34" i="11"/>
  <c r="AI41" i="11"/>
  <c r="AI44" i="11"/>
  <c r="M24" i="11"/>
  <c r="AJ41" i="11"/>
  <c r="AJ39" i="11"/>
  <c r="M17" i="11"/>
  <c r="M21" i="11"/>
  <c r="M25" i="11"/>
  <c r="M29" i="11"/>
  <c r="M33" i="11"/>
  <c r="M37" i="11"/>
  <c r="Y43" i="9"/>
  <c r="Y42" i="9"/>
  <c r="X43" i="9"/>
  <c r="X42" i="9"/>
  <c r="Y40" i="9"/>
  <c r="X40" i="9"/>
  <c r="N23" i="11" l="1"/>
  <c r="N33" i="11"/>
  <c r="N14" i="11"/>
  <c r="N22" i="11"/>
  <c r="N24" i="11"/>
  <c r="N16" i="11"/>
  <c r="N36" i="11"/>
  <c r="N32" i="11"/>
  <c r="AI25" i="12"/>
  <c r="AR25" i="12" s="1"/>
  <c r="AQ25" i="12"/>
  <c r="N18" i="11"/>
  <c r="N37" i="11"/>
  <c r="AL9" i="11"/>
  <c r="M9" i="11" s="1"/>
  <c r="N27" i="11"/>
  <c r="N17" i="11"/>
  <c r="N26" i="11"/>
  <c r="N35" i="11"/>
  <c r="N12" i="11"/>
  <c r="N11" i="11"/>
  <c r="N13" i="11"/>
  <c r="N19" i="11"/>
  <c r="N29" i="11"/>
  <c r="N25" i="11"/>
  <c r="N34" i="11"/>
  <c r="N28" i="11"/>
  <c r="N21" i="11"/>
  <c r="N20" i="11"/>
  <c r="N10" i="11"/>
  <c r="AL8" i="11"/>
  <c r="M8" i="11" s="1"/>
  <c r="AI43" i="11"/>
  <c r="AJ43" i="11"/>
  <c r="AL7" i="11"/>
  <c r="M7" i="11" s="1"/>
  <c r="AI45" i="11"/>
  <c r="AM8" i="11"/>
  <c r="AM6" i="11"/>
  <c r="AM7" i="11"/>
  <c r="AM9" i="11"/>
  <c r="AJ45" i="11"/>
  <c r="M6" i="11"/>
  <c r="Y44" i="9"/>
  <c r="X44" i="9"/>
  <c r="AB9" i="9"/>
  <c r="AB6" i="9"/>
  <c r="AB7" i="9"/>
  <c r="AB8" i="9"/>
  <c r="AA8" i="9"/>
  <c r="AA7" i="9"/>
  <c r="AA9" i="9"/>
  <c r="AA6" i="9"/>
  <c r="K6" i="9" l="1"/>
  <c r="N6" i="9"/>
  <c r="AQ6" i="11" s="1"/>
  <c r="N6" i="11" s="1"/>
  <c r="I6" i="9"/>
  <c r="J6" i="9"/>
  <c r="H6" i="9"/>
  <c r="F6" i="9"/>
  <c r="E6" i="9"/>
  <c r="H9" i="9"/>
  <c r="N9" i="9"/>
  <c r="AQ9" i="11" s="1"/>
  <c r="N9" i="11" s="1"/>
  <c r="E9" i="9"/>
  <c r="I9" i="9"/>
  <c r="K9" i="9"/>
  <c r="J9" i="9"/>
  <c r="F9" i="9"/>
  <c r="N8" i="9"/>
  <c r="AQ8" i="11" s="1"/>
  <c r="N8" i="11" s="1"/>
  <c r="J8" i="9"/>
  <c r="F8" i="9"/>
  <c r="I8" i="9"/>
  <c r="K8" i="9"/>
  <c r="E8" i="9"/>
  <c r="H8" i="9"/>
  <c r="N7" i="9"/>
  <c r="AQ7" i="11" s="1"/>
  <c r="N7" i="11" s="1"/>
  <c r="I7" i="9"/>
  <c r="E7" i="9"/>
  <c r="J7" i="9"/>
  <c r="K7" i="9"/>
  <c r="F7" i="9"/>
  <c r="H7" i="9"/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5" i="8"/>
  <c r="P6" i="2"/>
  <c r="P7" i="2"/>
  <c r="P8" i="2"/>
  <c r="P9" i="2"/>
  <c r="P10" i="2"/>
  <c r="AI10" i="9" s="1"/>
  <c r="C10" i="9" s="1"/>
  <c r="P11" i="2"/>
  <c r="P12" i="2"/>
  <c r="P13" i="2"/>
  <c r="P14" i="2"/>
  <c r="P15" i="2"/>
  <c r="P16" i="2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I31" i="6"/>
  <c r="Q31" i="14" s="1"/>
  <c r="T31" i="14" s="1"/>
  <c r="I36" i="6"/>
  <c r="H36" i="6"/>
  <c r="H31" i="6"/>
  <c r="P31" i="14" s="1"/>
  <c r="S31" i="14" s="1"/>
  <c r="H26" i="6"/>
  <c r="H7" i="6"/>
  <c r="P7" i="14" s="1"/>
  <c r="S7" i="14" s="1"/>
  <c r="H8" i="6"/>
  <c r="H9" i="6"/>
  <c r="H10" i="6"/>
  <c r="H11" i="6"/>
  <c r="H12" i="6"/>
  <c r="H13" i="6"/>
  <c r="H14" i="6"/>
  <c r="H15" i="6"/>
  <c r="H16" i="6"/>
  <c r="H17" i="6"/>
  <c r="P17" i="14" s="1"/>
  <c r="S17" i="14" s="1"/>
  <c r="H18" i="6"/>
  <c r="H19" i="6"/>
  <c r="H20" i="6"/>
  <c r="H21" i="6"/>
  <c r="H22" i="6"/>
  <c r="H23" i="6"/>
  <c r="H6" i="6"/>
  <c r="R36" i="3"/>
  <c r="F36" i="3" s="1"/>
  <c r="R31" i="3"/>
  <c r="F31" i="3" s="1"/>
  <c r="F32" i="3" s="1"/>
  <c r="F33" i="3" s="1"/>
  <c r="F34" i="3" s="1"/>
  <c r="F35" i="3" s="1"/>
  <c r="R26" i="3"/>
  <c r="F26" i="3" s="1"/>
  <c r="F27" i="3" s="1"/>
  <c r="F28" i="3" s="1"/>
  <c r="F29" i="3" s="1"/>
  <c r="F30" i="3" s="1"/>
  <c r="R7" i="3"/>
  <c r="F7" i="3" s="1"/>
  <c r="R8" i="3"/>
  <c r="R9" i="3"/>
  <c r="F9" i="3" s="1"/>
  <c r="R10" i="3"/>
  <c r="F10" i="3" s="1"/>
  <c r="R11" i="3"/>
  <c r="F11" i="3" s="1"/>
  <c r="R12" i="3"/>
  <c r="F12" i="3" s="1"/>
  <c r="R13" i="3"/>
  <c r="F13" i="3" s="1"/>
  <c r="R6" i="3"/>
  <c r="F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6" i="3"/>
  <c r="Q15" i="4"/>
  <c r="R15" i="4"/>
  <c r="Q16" i="4"/>
  <c r="R16" i="4"/>
  <c r="Q17" i="4"/>
  <c r="R17" i="4"/>
  <c r="Q18" i="4"/>
  <c r="R18" i="4"/>
  <c r="R14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R6" i="4"/>
  <c r="S6" i="4"/>
  <c r="Q12" i="4"/>
  <c r="Q13" i="4"/>
  <c r="Q14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6" i="4"/>
  <c r="N7" i="4"/>
  <c r="N8" i="4"/>
  <c r="N9" i="4"/>
  <c r="N10" i="4"/>
  <c r="N11" i="4"/>
  <c r="N6" i="4"/>
  <c r="M7" i="4"/>
  <c r="M8" i="4"/>
  <c r="M9" i="4"/>
  <c r="M10" i="4"/>
  <c r="M11" i="4"/>
  <c r="M14" i="4"/>
  <c r="M15" i="4"/>
  <c r="M16" i="4"/>
  <c r="M17" i="4"/>
  <c r="M18" i="4"/>
  <c r="M6" i="4"/>
  <c r="F14" i="3" l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Q7" i="14"/>
  <c r="T7" i="14" s="1"/>
  <c r="Q14" i="14"/>
  <c r="T14" i="14" s="1"/>
  <c r="P14" i="14"/>
  <c r="S14" i="14" s="1"/>
  <c r="P13" i="14"/>
  <c r="S13" i="14" s="1"/>
  <c r="P16" i="14"/>
  <c r="S16" i="14" s="1"/>
  <c r="Q23" i="14"/>
  <c r="T23" i="14" s="1"/>
  <c r="Q6" i="14"/>
  <c r="T6" i="14" s="1"/>
  <c r="P22" i="14"/>
  <c r="S22" i="14" s="1"/>
  <c r="Q11" i="14"/>
  <c r="T11" i="14" s="1"/>
  <c r="Q15" i="14"/>
  <c r="T15" i="14" s="1"/>
  <c r="P23" i="14"/>
  <c r="S23" i="14" s="1"/>
  <c r="Q22" i="14"/>
  <c r="T22" i="14" s="1"/>
  <c r="P26" i="14"/>
  <c r="S26" i="14" s="1"/>
  <c r="P21" i="14"/>
  <c r="S21" i="14" s="1"/>
  <c r="Q19" i="14"/>
  <c r="T19" i="14" s="1"/>
  <c r="P19" i="14"/>
  <c r="S19" i="14" s="1"/>
  <c r="P11" i="14"/>
  <c r="S11" i="14" s="1"/>
  <c r="Q36" i="14"/>
  <c r="T36" i="14" s="1"/>
  <c r="Q18" i="14"/>
  <c r="T18" i="14" s="1"/>
  <c r="Q10" i="14"/>
  <c r="T10" i="14" s="1"/>
  <c r="P8" i="14"/>
  <c r="S8" i="14" s="1"/>
  <c r="P15" i="14"/>
  <c r="S15" i="14" s="1"/>
  <c r="Q21" i="14"/>
  <c r="T21" i="14" s="1"/>
  <c r="Q20" i="14"/>
  <c r="T20" i="14" s="1"/>
  <c r="P20" i="14"/>
  <c r="S20" i="14" s="1"/>
  <c r="P36" i="14"/>
  <c r="S36" i="14" s="1"/>
  <c r="P18" i="14"/>
  <c r="S18" i="14" s="1"/>
  <c r="P10" i="14"/>
  <c r="S10" i="14" s="1"/>
  <c r="Q17" i="14"/>
  <c r="T17" i="14" s="1"/>
  <c r="Q9" i="14"/>
  <c r="T9" i="14" s="1"/>
  <c r="P6" i="14"/>
  <c r="S6" i="14" s="1"/>
  <c r="Q13" i="14"/>
  <c r="T13" i="14" s="1"/>
  <c r="Q12" i="14"/>
  <c r="T12" i="14" s="1"/>
  <c r="P12" i="14"/>
  <c r="S12" i="14" s="1"/>
  <c r="P9" i="14"/>
  <c r="S9" i="14" s="1"/>
  <c r="Q26" i="14"/>
  <c r="T26" i="14" s="1"/>
  <c r="Q16" i="14"/>
  <c r="T16" i="14" s="1"/>
  <c r="Q8" i="14"/>
  <c r="T8" i="14" s="1"/>
  <c r="Y7" i="4"/>
  <c r="Y26" i="4"/>
  <c r="Y10" i="4"/>
  <c r="AA10" i="4" s="1"/>
  <c r="Y31" i="4"/>
  <c r="Y11" i="4"/>
  <c r="AA11" i="4" s="1"/>
  <c r="Y9" i="4"/>
  <c r="AA9" i="4" s="1"/>
  <c r="Y12" i="4"/>
  <c r="Y36" i="4"/>
  <c r="AA7" i="4"/>
  <c r="K17" i="6"/>
  <c r="N17" i="6" s="1"/>
  <c r="Q45" i="4"/>
  <c r="Q43" i="4"/>
  <c r="Q42" i="4"/>
  <c r="Q40" i="4"/>
  <c r="W11" i="4"/>
  <c r="W6" i="4"/>
  <c r="W8" i="4"/>
  <c r="W10" i="4"/>
  <c r="W9" i="4"/>
  <c r="W7" i="4"/>
  <c r="M45" i="4"/>
  <c r="M43" i="4"/>
  <c r="M42" i="4"/>
  <c r="M40" i="4"/>
  <c r="R31" i="4" s="1"/>
  <c r="N45" i="4"/>
  <c r="N43" i="4"/>
  <c r="N42" i="4"/>
  <c r="J11" i="3"/>
  <c r="Y13" i="4"/>
  <c r="J12" i="3"/>
  <c r="AI9" i="9"/>
  <c r="C9" i="9" s="1"/>
  <c r="AI16" i="9"/>
  <c r="C16" i="9" s="1"/>
  <c r="AI8" i="9"/>
  <c r="C8" i="9" s="1"/>
  <c r="AI15" i="9"/>
  <c r="C15" i="9" s="1"/>
  <c r="AI7" i="9"/>
  <c r="C7" i="9" s="1"/>
  <c r="AI14" i="9"/>
  <c r="AI6" i="9"/>
  <c r="C6" i="9" s="1"/>
  <c r="AI13" i="9"/>
  <c r="C13" i="9" s="1"/>
  <c r="AI12" i="9"/>
  <c r="C12" i="9" s="1"/>
  <c r="AI11" i="9"/>
  <c r="C11" i="9" s="1"/>
  <c r="Y6" i="4"/>
  <c r="AA6" i="4" s="1"/>
  <c r="K8" i="6"/>
  <c r="N8" i="6" s="1"/>
  <c r="O23" i="6"/>
  <c r="AC15" i="2"/>
  <c r="AC8" i="2"/>
  <c r="AC13" i="2"/>
  <c r="AC12" i="2"/>
  <c r="AC11" i="2"/>
  <c r="F8" i="3"/>
  <c r="P32" i="14"/>
  <c r="S32" i="14" s="1"/>
  <c r="AC10" i="2"/>
  <c r="AC14" i="2"/>
  <c r="AC9" i="2"/>
  <c r="AC16" i="2"/>
  <c r="J10" i="3"/>
  <c r="L21" i="6"/>
  <c r="O21" i="6" s="1"/>
  <c r="N10" i="6"/>
  <c r="N15" i="6"/>
  <c r="O14" i="6"/>
  <c r="N22" i="6"/>
  <c r="O13" i="6"/>
  <c r="N23" i="6"/>
  <c r="N14" i="6"/>
  <c r="L7" i="6"/>
  <c r="O7" i="6" s="1"/>
  <c r="N13" i="6"/>
  <c r="O12" i="6"/>
  <c r="N20" i="6"/>
  <c r="N12" i="6"/>
  <c r="O18" i="6"/>
  <c r="O17" i="6"/>
  <c r="O9" i="6"/>
  <c r="N9" i="6"/>
  <c r="O16" i="6"/>
  <c r="N16" i="6"/>
  <c r="L22" i="6"/>
  <c r="O22" i="6" s="1"/>
  <c r="O15" i="6"/>
  <c r="N11" i="6"/>
  <c r="N19" i="6"/>
  <c r="K21" i="6"/>
  <c r="N21" i="6" s="1"/>
  <c r="O19" i="6"/>
  <c r="L20" i="6"/>
  <c r="O20" i="6" s="1"/>
  <c r="O10" i="6"/>
  <c r="L11" i="6"/>
  <c r="O11" i="6" s="1"/>
  <c r="N18" i="6"/>
  <c r="L24" i="6"/>
  <c r="O24" i="6" s="1"/>
  <c r="O8" i="6"/>
  <c r="K7" i="6"/>
  <c r="N7" i="6" s="1"/>
  <c r="N27" i="6"/>
  <c r="H7" i="3"/>
  <c r="H13" i="3"/>
  <c r="K24" i="6" l="1"/>
  <c r="Q27" i="14"/>
  <c r="T27" i="14" s="1"/>
  <c r="O27" i="6"/>
  <c r="Q32" i="14"/>
  <c r="T32" i="14" s="1"/>
  <c r="P24" i="14"/>
  <c r="S24" i="14" s="1"/>
  <c r="Q24" i="14"/>
  <c r="T24" i="14" s="1"/>
  <c r="P27" i="14"/>
  <c r="S27" i="14" s="1"/>
  <c r="Y32" i="4"/>
  <c r="Y8" i="4"/>
  <c r="AA8" i="4" s="1"/>
  <c r="Y27" i="4"/>
  <c r="Y14" i="4"/>
  <c r="Q44" i="4"/>
  <c r="Q46" i="4"/>
  <c r="O40" i="4"/>
  <c r="S14" i="4"/>
  <c r="N44" i="4"/>
  <c r="N46" i="4"/>
  <c r="M44" i="4"/>
  <c r="M46" i="4"/>
  <c r="H9" i="3"/>
  <c r="S17" i="4"/>
  <c r="S24" i="4"/>
  <c r="S37" i="4"/>
  <c r="W37" i="4" s="1"/>
  <c r="S29" i="4"/>
  <c r="S21" i="4"/>
  <c r="R13" i="4"/>
  <c r="R25" i="4"/>
  <c r="S33" i="4"/>
  <c r="S25" i="4"/>
  <c r="S13" i="4"/>
  <c r="AA13" i="4" s="1"/>
  <c r="R21" i="4"/>
  <c r="S16" i="4"/>
  <c r="S36" i="4"/>
  <c r="AA36" i="4" s="1"/>
  <c r="S31" i="4"/>
  <c r="AA31" i="4" s="1"/>
  <c r="S19" i="4"/>
  <c r="S23" i="4"/>
  <c r="S34" i="4"/>
  <c r="S12" i="4"/>
  <c r="AA12" i="4" s="1"/>
  <c r="S11" i="3"/>
  <c r="S12" i="3"/>
  <c r="S36" i="3"/>
  <c r="S6" i="3"/>
  <c r="S26" i="3"/>
  <c r="S7" i="3"/>
  <c r="R19" i="4"/>
  <c r="P33" i="14"/>
  <c r="S33" i="14" s="1"/>
  <c r="R26" i="4"/>
  <c r="S8" i="3"/>
  <c r="R20" i="4"/>
  <c r="S10" i="3"/>
  <c r="Q7" i="3"/>
  <c r="J7" i="3"/>
  <c r="Q12" i="3"/>
  <c r="Q36" i="3"/>
  <c r="Q26" i="3"/>
  <c r="Q10" i="3"/>
  <c r="Q6" i="3"/>
  <c r="R32" i="4"/>
  <c r="N32" i="6"/>
  <c r="R22" i="4"/>
  <c r="Q13" i="3"/>
  <c r="R30" i="4"/>
  <c r="S15" i="4"/>
  <c r="S28" i="4"/>
  <c r="S27" i="4"/>
  <c r="R37" i="4"/>
  <c r="S31" i="3"/>
  <c r="R27" i="4"/>
  <c r="R24" i="4"/>
  <c r="J8" i="3"/>
  <c r="R35" i="4"/>
  <c r="Q9" i="3"/>
  <c r="S9" i="3"/>
  <c r="Q8" i="3"/>
  <c r="R28" i="4"/>
  <c r="S35" i="4"/>
  <c r="S30" i="4"/>
  <c r="R34" i="4"/>
  <c r="R29" i="4"/>
  <c r="R36" i="4"/>
  <c r="Q11" i="3"/>
  <c r="S18" i="4"/>
  <c r="S22" i="4"/>
  <c r="S20" i="4"/>
  <c r="S13" i="3"/>
  <c r="Q33" i="14"/>
  <c r="T33" i="14" s="1"/>
  <c r="R33" i="4"/>
  <c r="R12" i="4"/>
  <c r="Q31" i="3"/>
  <c r="R23" i="4"/>
  <c r="S32" i="4"/>
  <c r="S26" i="4"/>
  <c r="AA26" i="4" s="1"/>
  <c r="J13" i="3"/>
  <c r="H27" i="3"/>
  <c r="J27" i="3" s="1"/>
  <c r="H14" i="3"/>
  <c r="H32" i="3"/>
  <c r="J32" i="3" s="1"/>
  <c r="O32" i="6" l="1"/>
  <c r="N24" i="6"/>
  <c r="AA32" i="4"/>
  <c r="J14" i="3"/>
  <c r="P28" i="14"/>
  <c r="S28" i="14" s="1"/>
  <c r="N28" i="6"/>
  <c r="K25" i="6"/>
  <c r="N25" i="6" s="1"/>
  <c r="P25" i="14"/>
  <c r="S25" i="14" s="1"/>
  <c r="K26" i="6"/>
  <c r="N26" i="6" s="1"/>
  <c r="L25" i="6"/>
  <c r="O25" i="6" s="1"/>
  <c r="Q25" i="14"/>
  <c r="T25" i="14" s="1"/>
  <c r="L26" i="6"/>
  <c r="O26" i="6" s="1"/>
  <c r="Q28" i="14"/>
  <c r="T28" i="14" s="1"/>
  <c r="O28" i="6"/>
  <c r="AA27" i="4"/>
  <c r="Y33" i="4"/>
  <c r="AA33" i="4" s="1"/>
  <c r="Y28" i="4"/>
  <c r="AA28" i="4" s="1"/>
  <c r="Y15" i="4"/>
  <c r="AA15" i="4" s="1"/>
  <c r="AA14" i="4"/>
  <c r="S45" i="4"/>
  <c r="S43" i="4"/>
  <c r="S42" i="4"/>
  <c r="S40" i="4"/>
  <c r="R45" i="4"/>
  <c r="R43" i="4"/>
  <c r="R42" i="4"/>
  <c r="R40" i="4"/>
  <c r="W12" i="4"/>
  <c r="W13" i="4"/>
  <c r="W24" i="4"/>
  <c r="W30" i="4"/>
  <c r="W15" i="4"/>
  <c r="W35" i="4"/>
  <c r="W34" i="4"/>
  <c r="W25" i="4"/>
  <c r="W17" i="4"/>
  <c r="W26" i="4"/>
  <c r="W19" i="4"/>
  <c r="W18" i="4"/>
  <c r="W33" i="4"/>
  <c r="W31" i="4"/>
  <c r="J9" i="3"/>
  <c r="W23" i="4"/>
  <c r="W32" i="4"/>
  <c r="W20" i="4"/>
  <c r="W36" i="4"/>
  <c r="W21" i="4"/>
  <c r="W27" i="4"/>
  <c r="W22" i="4"/>
  <c r="W28" i="4"/>
  <c r="W16" i="4"/>
  <c r="W29" i="4"/>
  <c r="W14" i="4"/>
  <c r="P34" i="14"/>
  <c r="S34" i="14" s="1"/>
  <c r="N33" i="6"/>
  <c r="Q34" i="14"/>
  <c r="T34" i="14" s="1"/>
  <c r="O33" i="6"/>
  <c r="H33" i="3"/>
  <c r="J33" i="3" s="1"/>
  <c r="H15" i="3"/>
  <c r="J15" i="3" s="1"/>
  <c r="H28" i="3"/>
  <c r="J28" i="3" s="1"/>
  <c r="AJ7" i="2"/>
  <c r="AU7" i="2" s="1"/>
  <c r="AJ8" i="2"/>
  <c r="AU8" i="2" s="1"/>
  <c r="AJ9" i="2"/>
  <c r="AJ10" i="2"/>
  <c r="AU10" i="2" s="1"/>
  <c r="AJ11" i="2"/>
  <c r="AU11" i="2" s="1"/>
  <c r="AJ12" i="2"/>
  <c r="AU12" i="2" s="1"/>
  <c r="AJ13" i="2"/>
  <c r="AU13" i="2" s="1"/>
  <c r="AJ14" i="2"/>
  <c r="AJ15" i="2"/>
  <c r="AU15" i="2" s="1"/>
  <c r="AJ16" i="2"/>
  <c r="AU16" i="2" s="1"/>
  <c r="AJ17" i="2"/>
  <c r="AU17" i="2" s="1"/>
  <c r="AJ18" i="2"/>
  <c r="AU18" i="2" s="1"/>
  <c r="AJ19" i="2"/>
  <c r="AU19" i="2" s="1"/>
  <c r="U21" i="2"/>
  <c r="AK25" i="2"/>
  <c r="AF35" i="2"/>
  <c r="AB22" i="2"/>
  <c r="AC22" i="2"/>
  <c r="AD22" i="2"/>
  <c r="AF22" i="2"/>
  <c r="AG22" i="2"/>
  <c r="AH22" i="2"/>
  <c r="AI22" i="2"/>
  <c r="AJ22" i="2"/>
  <c r="AK22" i="2"/>
  <c r="AB23" i="2"/>
  <c r="AD23" i="2"/>
  <c r="AE23" i="2"/>
  <c r="AF23" i="2"/>
  <c r="AG23" i="2"/>
  <c r="AH23" i="2"/>
  <c r="AI23" i="2"/>
  <c r="AJ23" i="2"/>
  <c r="AK23" i="2"/>
  <c r="AB24" i="2"/>
  <c r="AD24" i="2"/>
  <c r="AE24" i="2"/>
  <c r="AF24" i="2"/>
  <c r="AG24" i="2"/>
  <c r="AI24" i="2"/>
  <c r="AB25" i="2"/>
  <c r="AC25" i="2"/>
  <c r="AD25" i="2"/>
  <c r="AF25" i="2"/>
  <c r="AG25" i="2"/>
  <c r="AH25" i="2"/>
  <c r="AI25" i="2"/>
  <c r="AB26" i="2"/>
  <c r="AD26" i="2"/>
  <c r="AF26" i="2"/>
  <c r="AG26" i="2"/>
  <c r="AH26" i="2"/>
  <c r="AI26" i="2"/>
  <c r="AK26" i="2"/>
  <c r="AB27" i="2"/>
  <c r="AC27" i="2"/>
  <c r="AD27" i="2"/>
  <c r="AE27" i="2"/>
  <c r="AF27" i="2"/>
  <c r="AG27" i="2"/>
  <c r="AH27" i="2"/>
  <c r="AI27" i="2"/>
  <c r="AK27" i="2"/>
  <c r="AB28" i="2"/>
  <c r="AC28" i="2"/>
  <c r="AD28" i="2"/>
  <c r="AE28" i="2"/>
  <c r="AF28" i="2"/>
  <c r="AG28" i="2"/>
  <c r="AH28" i="2"/>
  <c r="AI28" i="2"/>
  <c r="AJ28" i="2"/>
  <c r="AK28" i="2"/>
  <c r="AB29" i="2"/>
  <c r="AD29" i="2"/>
  <c r="AF29" i="2"/>
  <c r="AG29" i="2"/>
  <c r="AH29" i="2"/>
  <c r="AI29" i="2"/>
  <c r="AJ29" i="2"/>
  <c r="AB30" i="2"/>
  <c r="AC30" i="2"/>
  <c r="AD30" i="2"/>
  <c r="AE30" i="2"/>
  <c r="AF30" i="2"/>
  <c r="AG30" i="2"/>
  <c r="AH30" i="2"/>
  <c r="AI30" i="2"/>
  <c r="AJ30" i="2"/>
  <c r="AK30" i="2"/>
  <c r="AB31" i="2"/>
  <c r="AC31" i="2"/>
  <c r="AD31" i="2"/>
  <c r="AE31" i="2"/>
  <c r="AF31" i="2"/>
  <c r="AG31" i="2"/>
  <c r="AH31" i="2"/>
  <c r="AI31" i="2"/>
  <c r="AJ31" i="2"/>
  <c r="AK31" i="2"/>
  <c r="AB32" i="2"/>
  <c r="AC32" i="2"/>
  <c r="AD32" i="2"/>
  <c r="AG32" i="2"/>
  <c r="AH32" i="2"/>
  <c r="AI32" i="2"/>
  <c r="AJ32" i="2"/>
  <c r="AK32" i="2"/>
  <c r="AB33" i="2"/>
  <c r="AC33" i="2"/>
  <c r="AD33" i="2"/>
  <c r="AE33" i="2"/>
  <c r="AF33" i="2"/>
  <c r="AG33" i="2"/>
  <c r="AH33" i="2"/>
  <c r="AI33" i="2"/>
  <c r="AJ33" i="2"/>
  <c r="AB34" i="2"/>
  <c r="AC34" i="2"/>
  <c r="AD34" i="2"/>
  <c r="AE34" i="2"/>
  <c r="AG34" i="2"/>
  <c r="AH34" i="2"/>
  <c r="AI34" i="2"/>
  <c r="AJ34" i="2"/>
  <c r="AK34" i="2"/>
  <c r="AB35" i="2"/>
  <c r="AC35" i="2"/>
  <c r="AD35" i="2"/>
  <c r="AE35" i="2"/>
  <c r="AG35" i="2"/>
  <c r="AH35" i="2"/>
  <c r="AI35" i="2"/>
  <c r="AJ35" i="2"/>
  <c r="AK35" i="2"/>
  <c r="AB36" i="2"/>
  <c r="AC36" i="2"/>
  <c r="AD36" i="2"/>
  <c r="AE36" i="2"/>
  <c r="AF36" i="2"/>
  <c r="AG36" i="2"/>
  <c r="AH36" i="2"/>
  <c r="AI36" i="2"/>
  <c r="AJ36" i="2"/>
  <c r="AK36" i="2"/>
  <c r="AB37" i="2"/>
  <c r="AD37" i="2"/>
  <c r="AF37" i="2"/>
  <c r="AG37" i="2"/>
  <c r="AH37" i="2"/>
  <c r="AI37" i="2"/>
  <c r="AJ37" i="2"/>
  <c r="AD21" i="2"/>
  <c r="AE21" i="2"/>
  <c r="AF21" i="2"/>
  <c r="AG21" i="2"/>
  <c r="AH21" i="2"/>
  <c r="AI21" i="2"/>
  <c r="AB21" i="2"/>
  <c r="AP7" i="2"/>
  <c r="AQ7" i="2"/>
  <c r="AS7" i="2"/>
  <c r="AT7" i="2"/>
  <c r="AV7" i="2"/>
  <c r="AP8" i="2"/>
  <c r="AQ8" i="2"/>
  <c r="AS8" i="2"/>
  <c r="AT8" i="2"/>
  <c r="AV8" i="2"/>
  <c r="AP9" i="2"/>
  <c r="AQ9" i="2"/>
  <c r="AS9" i="2"/>
  <c r="AT9" i="2"/>
  <c r="AU9" i="2"/>
  <c r="AV9" i="2"/>
  <c r="AP10" i="2"/>
  <c r="AQ10" i="2"/>
  <c r="AS10" i="2"/>
  <c r="AT10" i="2"/>
  <c r="AV10" i="2"/>
  <c r="AP11" i="2"/>
  <c r="AQ11" i="2"/>
  <c r="AS11" i="2"/>
  <c r="AT11" i="2"/>
  <c r="AV11" i="2"/>
  <c r="AP12" i="2"/>
  <c r="AQ12" i="2"/>
  <c r="AS12" i="2"/>
  <c r="AT12" i="2"/>
  <c r="AV12" i="2"/>
  <c r="AP13" i="2"/>
  <c r="AQ13" i="2"/>
  <c r="AS13" i="2"/>
  <c r="AT13" i="2"/>
  <c r="AV13" i="2"/>
  <c r="AP14" i="2"/>
  <c r="AQ14" i="2"/>
  <c r="AS14" i="2"/>
  <c r="AT14" i="2"/>
  <c r="AU14" i="2"/>
  <c r="AV14" i="2"/>
  <c r="AP15" i="2"/>
  <c r="AQ15" i="2"/>
  <c r="AS15" i="2"/>
  <c r="AT15" i="2"/>
  <c r="AV15" i="2"/>
  <c r="AP16" i="2"/>
  <c r="AQ16" i="2"/>
  <c r="AS16" i="2"/>
  <c r="AT16" i="2"/>
  <c r="AV16" i="2"/>
  <c r="AP17" i="2"/>
  <c r="AQ17" i="2"/>
  <c r="AT17" i="2"/>
  <c r="AV17" i="2"/>
  <c r="AP18" i="2"/>
  <c r="AQ18" i="2"/>
  <c r="AT18" i="2"/>
  <c r="AV18" i="2"/>
  <c r="AP19" i="2"/>
  <c r="AQ19" i="2"/>
  <c r="AT19" i="2"/>
  <c r="AV19" i="2"/>
  <c r="AP20" i="2"/>
  <c r="AQ20" i="2"/>
  <c r="AT20" i="2"/>
  <c r="AV20" i="2"/>
  <c r="AN7" i="2"/>
  <c r="AN8" i="2"/>
  <c r="AN9" i="2"/>
  <c r="AN10" i="2"/>
  <c r="AN11" i="2"/>
  <c r="AN12" i="2"/>
  <c r="AN13" i="2"/>
  <c r="AN14" i="2"/>
  <c r="AN15" i="2"/>
  <c r="AN1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6" i="2"/>
  <c r="AH6" i="9" s="1"/>
  <c r="B6" i="9" s="1"/>
  <c r="O7" i="2"/>
  <c r="AH7" i="9" s="1"/>
  <c r="B7" i="9" s="1"/>
  <c r="O8" i="2"/>
  <c r="AH8" i="9" s="1"/>
  <c r="B8" i="9" s="1"/>
  <c r="O9" i="2"/>
  <c r="AH9" i="9" s="1"/>
  <c r="B9" i="9" s="1"/>
  <c r="O10" i="2"/>
  <c r="AH11" i="9"/>
  <c r="B11" i="9" s="1"/>
  <c r="O12" i="2"/>
  <c r="AH12" i="9" s="1"/>
  <c r="B12" i="9" s="1"/>
  <c r="O13" i="2"/>
  <c r="AH13" i="9" s="1"/>
  <c r="B13" i="9" s="1"/>
  <c r="O14" i="2"/>
  <c r="AH14" i="9" s="1"/>
  <c r="B14" i="9" s="1"/>
  <c r="O15" i="2"/>
  <c r="AH15" i="9" s="1"/>
  <c r="B15" i="9" s="1"/>
  <c r="O16" i="2"/>
  <c r="AH16" i="9" s="1"/>
  <c r="B16" i="9" s="1"/>
  <c r="O17" i="2"/>
  <c r="AH17" i="9" s="1"/>
  <c r="B17" i="9" s="1"/>
  <c r="O18" i="2"/>
  <c r="AH18" i="9" s="1"/>
  <c r="B18" i="9" s="1"/>
  <c r="O19" i="2"/>
  <c r="AH19" i="9" s="1"/>
  <c r="B19" i="9" s="1"/>
  <c r="O20" i="2"/>
  <c r="AH20" i="9" s="1"/>
  <c r="B20" i="9" s="1"/>
  <c r="P21" i="2"/>
  <c r="AI21" i="9" s="1"/>
  <c r="C21" i="9" s="1"/>
  <c r="Q21" i="2"/>
  <c r="R21" i="2"/>
  <c r="S21" i="2"/>
  <c r="T21" i="2"/>
  <c r="V21" i="2"/>
  <c r="W21" i="2"/>
  <c r="AP21" i="9" s="1"/>
  <c r="J21" i="9" s="1"/>
  <c r="X21" i="2"/>
  <c r="AQ21" i="9" s="1"/>
  <c r="K21" i="9" s="1"/>
  <c r="P22" i="2"/>
  <c r="Q22" i="2"/>
  <c r="R22" i="2"/>
  <c r="AK22" i="9" s="1"/>
  <c r="E22" i="9" s="1"/>
  <c r="S22" i="2"/>
  <c r="T22" i="2"/>
  <c r="U22" i="2"/>
  <c r="V22" i="2"/>
  <c r="W22" i="2"/>
  <c r="X22" i="2"/>
  <c r="P23" i="2"/>
  <c r="AI23" i="9" s="1"/>
  <c r="C23" i="9" s="1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AN24" i="9" s="1"/>
  <c r="H24" i="9" s="1"/>
  <c r="V24" i="2"/>
  <c r="W24" i="2"/>
  <c r="AP24" i="9" s="1"/>
  <c r="J24" i="9" s="1"/>
  <c r="X24" i="2"/>
  <c r="P25" i="2"/>
  <c r="Q25" i="2"/>
  <c r="R25" i="2"/>
  <c r="AK25" i="9" s="1"/>
  <c r="E25" i="9" s="1"/>
  <c r="S25" i="2"/>
  <c r="T25" i="2"/>
  <c r="U25" i="2"/>
  <c r="V25" i="2"/>
  <c r="W25" i="2"/>
  <c r="AP25" i="9" s="1"/>
  <c r="J25" i="9" s="1"/>
  <c r="X25" i="2"/>
  <c r="P26" i="2"/>
  <c r="AI26" i="9" s="1"/>
  <c r="C26" i="9" s="1"/>
  <c r="Q26" i="2"/>
  <c r="R26" i="2"/>
  <c r="S26" i="2"/>
  <c r="T26" i="2"/>
  <c r="U26" i="2"/>
  <c r="V26" i="2"/>
  <c r="W26" i="2"/>
  <c r="AP26" i="9" s="1"/>
  <c r="J26" i="9" s="1"/>
  <c r="X26" i="2"/>
  <c r="P27" i="2"/>
  <c r="Q27" i="2"/>
  <c r="R27" i="2"/>
  <c r="S27" i="2"/>
  <c r="T27" i="2"/>
  <c r="U27" i="2"/>
  <c r="V27" i="2"/>
  <c r="W27" i="2"/>
  <c r="AP27" i="9" s="1"/>
  <c r="J27" i="9" s="1"/>
  <c r="X27" i="2"/>
  <c r="P28" i="2"/>
  <c r="Q28" i="2"/>
  <c r="R28" i="2"/>
  <c r="S28" i="2"/>
  <c r="T28" i="2"/>
  <c r="U28" i="2"/>
  <c r="V28" i="2"/>
  <c r="W28" i="2"/>
  <c r="X28" i="2"/>
  <c r="P29" i="2"/>
  <c r="AI29" i="9" s="1"/>
  <c r="C29" i="9" s="1"/>
  <c r="Q29" i="2"/>
  <c r="R29" i="2"/>
  <c r="AK29" i="9" s="1"/>
  <c r="E29" i="9" s="1"/>
  <c r="S29" i="2"/>
  <c r="T29" i="2"/>
  <c r="U29" i="2"/>
  <c r="V29" i="2"/>
  <c r="W29" i="2"/>
  <c r="X29" i="2"/>
  <c r="AQ29" i="9" s="1"/>
  <c r="K29" i="9" s="1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AK32" i="9" s="1"/>
  <c r="E32" i="9" s="1"/>
  <c r="S32" i="2"/>
  <c r="AL32" i="9" s="1"/>
  <c r="F32" i="9" s="1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AQ33" i="9" s="1"/>
  <c r="K33" i="9" s="1"/>
  <c r="P34" i="2"/>
  <c r="Q34" i="2"/>
  <c r="R34" i="2"/>
  <c r="S34" i="2"/>
  <c r="AL34" i="9" s="1"/>
  <c r="F34" i="9" s="1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AI37" i="9" s="1"/>
  <c r="C37" i="9" s="1"/>
  <c r="Q37" i="2"/>
  <c r="R37" i="2"/>
  <c r="AK37" i="9" s="1"/>
  <c r="E37" i="9" s="1"/>
  <c r="S37" i="2"/>
  <c r="T37" i="2"/>
  <c r="U37" i="2"/>
  <c r="V37" i="2"/>
  <c r="W37" i="2"/>
  <c r="X37" i="2"/>
  <c r="AQ37" i="9" s="1"/>
  <c r="K37" i="9" s="1"/>
  <c r="AL38" i="9"/>
  <c r="AN38" i="9"/>
  <c r="AO38" i="9"/>
  <c r="O21" i="2"/>
  <c r="AH21" i="9" s="1"/>
  <c r="B21" i="9" s="1"/>
  <c r="O22" i="2"/>
  <c r="AH22" i="9" s="1"/>
  <c r="B22" i="9" s="1"/>
  <c r="O23" i="2"/>
  <c r="AH23" i="9" s="1"/>
  <c r="B23" i="9" s="1"/>
  <c r="O24" i="2"/>
  <c r="AH24" i="9" s="1"/>
  <c r="B24" i="9" s="1"/>
  <c r="O25" i="2"/>
  <c r="AH25" i="9" s="1"/>
  <c r="B25" i="9" s="1"/>
  <c r="O26" i="2"/>
  <c r="AH26" i="9" s="1"/>
  <c r="B26" i="9" s="1"/>
  <c r="O27" i="2"/>
  <c r="AH27" i="9" s="1"/>
  <c r="B27" i="9" s="1"/>
  <c r="O28" i="2"/>
  <c r="AH28" i="9" s="1"/>
  <c r="B28" i="9" s="1"/>
  <c r="O29" i="2"/>
  <c r="AH29" i="9" s="1"/>
  <c r="B29" i="9" s="1"/>
  <c r="O30" i="2"/>
  <c r="AH30" i="9" s="1"/>
  <c r="B30" i="9" s="1"/>
  <c r="O31" i="2"/>
  <c r="AH31" i="9" s="1"/>
  <c r="B31" i="9" s="1"/>
  <c r="O32" i="2"/>
  <c r="AH32" i="9" s="1"/>
  <c r="B32" i="9" s="1"/>
  <c r="O33" i="2"/>
  <c r="AH33" i="9" s="1"/>
  <c r="B33" i="9" s="1"/>
  <c r="O34" i="2"/>
  <c r="AH34" i="9" s="1"/>
  <c r="B34" i="9" s="1"/>
  <c r="O35" i="2"/>
  <c r="AH35" i="9" s="1"/>
  <c r="B35" i="9" s="1"/>
  <c r="O36" i="2"/>
  <c r="AH36" i="9" s="1"/>
  <c r="B36" i="9" s="1"/>
  <c r="O37" i="2"/>
  <c r="AH37" i="9" s="1"/>
  <c r="B37" i="9" s="1"/>
  <c r="AH38" i="9"/>
  <c r="P29" i="14" l="1"/>
  <c r="S29" i="14" s="1"/>
  <c r="N29" i="6"/>
  <c r="Q29" i="14"/>
  <c r="T29" i="14" s="1"/>
  <c r="O29" i="6"/>
  <c r="Y16" i="4"/>
  <c r="AA16" i="4" s="1"/>
  <c r="Y34" i="4"/>
  <c r="AA34" i="4" s="1"/>
  <c r="Y29" i="4"/>
  <c r="AA29" i="4" s="1"/>
  <c r="W40" i="4"/>
  <c r="S44" i="4"/>
  <c r="S46" i="4"/>
  <c r="R44" i="4"/>
  <c r="R46" i="4"/>
  <c r="W45" i="4"/>
  <c r="W42" i="4"/>
  <c r="W43" i="4"/>
  <c r="AO28" i="9"/>
  <c r="I28" i="9" s="1"/>
  <c r="AO36" i="9"/>
  <c r="I36" i="9" s="1"/>
  <c r="AL23" i="9"/>
  <c r="F23" i="9" s="1"/>
  <c r="AJ8" i="9"/>
  <c r="D8" i="9" s="1"/>
  <c r="AI33" i="9"/>
  <c r="C33" i="9" s="1"/>
  <c r="AO34" i="9"/>
  <c r="I34" i="9" s="1"/>
  <c r="AK30" i="9"/>
  <c r="E30" i="9" s="1"/>
  <c r="AJ14" i="9"/>
  <c r="D14" i="9" s="1"/>
  <c r="AP35" i="9"/>
  <c r="J35" i="9" s="1"/>
  <c r="AJ33" i="9"/>
  <c r="D33" i="9" s="1"/>
  <c r="AM30" i="9"/>
  <c r="G30" i="9" s="1"/>
  <c r="AQ26" i="9"/>
  <c r="K26" i="9" s="1"/>
  <c r="AM22" i="9"/>
  <c r="G22" i="9" s="1"/>
  <c r="AN28" i="9"/>
  <c r="H28" i="9" s="1"/>
  <c r="AJ24" i="9"/>
  <c r="D24" i="9" s="1"/>
  <c r="AJ7" i="9"/>
  <c r="D7" i="9" s="1"/>
  <c r="AP33" i="9"/>
  <c r="J33" i="9" s="1"/>
  <c r="AN27" i="9"/>
  <c r="H27" i="9" s="1"/>
  <c r="AN37" i="9"/>
  <c r="H37" i="9" s="1"/>
  <c r="AL31" i="9"/>
  <c r="F31" i="9" s="1"/>
  <c r="AM7" i="9"/>
  <c r="G7" i="9" s="1"/>
  <c r="AN36" i="9"/>
  <c r="H36" i="9" s="1"/>
  <c r="AJ32" i="9"/>
  <c r="D32" i="9" s="1"/>
  <c r="AL30" i="9"/>
  <c r="F30" i="9" s="1"/>
  <c r="AI25" i="9"/>
  <c r="C25" i="9" s="1"/>
  <c r="AL22" i="9"/>
  <c r="F22" i="9" s="1"/>
  <c r="AM14" i="9"/>
  <c r="G14" i="9" s="1"/>
  <c r="AK38" i="9"/>
  <c r="AL29" i="9"/>
  <c r="F29" i="9" s="1"/>
  <c r="AJ6" i="9"/>
  <c r="D6" i="9" s="1"/>
  <c r="AM35" i="9"/>
  <c r="G35" i="9" s="1"/>
  <c r="AP32" i="9"/>
  <c r="J32" i="9" s="1"/>
  <c r="AJ30" i="9"/>
  <c r="D30" i="9" s="1"/>
  <c r="AM27" i="9"/>
  <c r="G27" i="9" s="1"/>
  <c r="AQ38" i="9"/>
  <c r="AI38" i="9"/>
  <c r="AJ37" i="9"/>
  <c r="D37" i="9" s="1"/>
  <c r="AK36" i="9"/>
  <c r="E36" i="9" s="1"/>
  <c r="AL35" i="9"/>
  <c r="F35" i="9" s="1"/>
  <c r="AM34" i="9"/>
  <c r="G34" i="9" s="1"/>
  <c r="AN33" i="9"/>
  <c r="H33" i="9" s="1"/>
  <c r="AO32" i="9"/>
  <c r="I32" i="9" s="1"/>
  <c r="AP31" i="9"/>
  <c r="J31" i="9" s="1"/>
  <c r="AQ30" i="9"/>
  <c r="K30" i="9" s="1"/>
  <c r="AI30" i="9"/>
  <c r="C30" i="9" s="1"/>
  <c r="AJ29" i="9"/>
  <c r="D29" i="9" s="1"/>
  <c r="AK28" i="9"/>
  <c r="E28" i="9" s="1"/>
  <c r="AL27" i="9"/>
  <c r="F27" i="9" s="1"/>
  <c r="AM26" i="9"/>
  <c r="G26" i="9" s="1"/>
  <c r="AN25" i="9"/>
  <c r="H25" i="9" s="1"/>
  <c r="AO24" i="9"/>
  <c r="I24" i="9" s="1"/>
  <c r="AP23" i="9"/>
  <c r="J23" i="9" s="1"/>
  <c r="AQ22" i="9"/>
  <c r="K22" i="9" s="1"/>
  <c r="AI22" i="9"/>
  <c r="C22" i="9" s="1"/>
  <c r="AJ20" i="9"/>
  <c r="D20" i="9" s="1"/>
  <c r="AJ12" i="9"/>
  <c r="D12" i="9" s="1"/>
  <c r="AM19" i="9"/>
  <c r="G19" i="9" s="1"/>
  <c r="AM11" i="9"/>
  <c r="G11" i="9" s="1"/>
  <c r="AM38" i="9"/>
  <c r="AI34" i="9"/>
  <c r="C34" i="9" s="1"/>
  <c r="AN29" i="9"/>
  <c r="H29" i="9" s="1"/>
  <c r="AJ25" i="9"/>
  <c r="D25" i="9" s="1"/>
  <c r="AM21" i="9"/>
  <c r="G21" i="9" s="1"/>
  <c r="AM15" i="9"/>
  <c r="G15" i="9" s="1"/>
  <c r="AM37" i="9"/>
  <c r="G37" i="9" s="1"/>
  <c r="AP34" i="9"/>
  <c r="J34" i="9" s="1"/>
  <c r="AK31" i="9"/>
  <c r="E31" i="9" s="1"/>
  <c r="AO27" i="9"/>
  <c r="I27" i="9" s="1"/>
  <c r="AQ25" i="9"/>
  <c r="K25" i="9" s="1"/>
  <c r="AL21" i="9"/>
  <c r="F21" i="9" s="1"/>
  <c r="AM36" i="9"/>
  <c r="G36" i="9" s="1"/>
  <c r="AM28" i="9"/>
  <c r="G28" i="9" s="1"/>
  <c r="AM13" i="9"/>
  <c r="G13" i="9" s="1"/>
  <c r="AL36" i="9"/>
  <c r="F36" i="9" s="1"/>
  <c r="AO25" i="9"/>
  <c r="I25" i="9" s="1"/>
  <c r="AJ21" i="9"/>
  <c r="D21" i="9" s="1"/>
  <c r="AJ13" i="9"/>
  <c r="D13" i="9" s="1"/>
  <c r="AM20" i="9"/>
  <c r="G20" i="9" s="1"/>
  <c r="AJ36" i="9"/>
  <c r="D36" i="9" s="1"/>
  <c r="AK35" i="9"/>
  <c r="E35" i="9" s="1"/>
  <c r="AM33" i="9"/>
  <c r="G33" i="9" s="1"/>
  <c r="AN32" i="9"/>
  <c r="H32" i="9" s="1"/>
  <c r="AO31" i="9"/>
  <c r="I31" i="9" s="1"/>
  <c r="AP30" i="9"/>
  <c r="J30" i="9" s="1"/>
  <c r="AJ28" i="9"/>
  <c r="D28" i="9" s="1"/>
  <c r="AK27" i="9"/>
  <c r="E27" i="9" s="1"/>
  <c r="AL26" i="9"/>
  <c r="F26" i="9" s="1"/>
  <c r="AM25" i="9"/>
  <c r="G25" i="9" s="1"/>
  <c r="AO23" i="9"/>
  <c r="I23" i="9" s="1"/>
  <c r="AP22" i="9"/>
  <c r="J22" i="9" s="1"/>
  <c r="AJ19" i="9"/>
  <c r="D19" i="9" s="1"/>
  <c r="AJ11" i="9"/>
  <c r="D11" i="9" s="1"/>
  <c r="AM18" i="9"/>
  <c r="G18" i="9" s="1"/>
  <c r="AM10" i="9"/>
  <c r="G10" i="9" s="1"/>
  <c r="AQ34" i="9"/>
  <c r="K34" i="9" s="1"/>
  <c r="AK24" i="9"/>
  <c r="E24" i="9" s="1"/>
  <c r="AJ16" i="9"/>
  <c r="D16" i="9" s="1"/>
  <c r="AM29" i="9"/>
  <c r="G29" i="9" s="1"/>
  <c r="AM6" i="9"/>
  <c r="G6" i="9" s="1"/>
  <c r="AN35" i="9"/>
  <c r="H35" i="9" s="1"/>
  <c r="AJ38" i="9"/>
  <c r="AN34" i="9"/>
  <c r="H34" i="9" s="1"/>
  <c r="AQ31" i="9"/>
  <c r="K31" i="9" s="1"/>
  <c r="AL28" i="9"/>
  <c r="F28" i="9" s="1"/>
  <c r="AQ23" i="9"/>
  <c r="K23" i="9" s="1"/>
  <c r="AJ22" i="9"/>
  <c r="D22" i="9" s="1"/>
  <c r="AP37" i="9"/>
  <c r="J37" i="9" s="1"/>
  <c r="AQ36" i="9"/>
  <c r="K36" i="9" s="1"/>
  <c r="AI36" i="9"/>
  <c r="C36" i="9" s="1"/>
  <c r="AJ35" i="9"/>
  <c r="D35" i="9" s="1"/>
  <c r="AK34" i="9"/>
  <c r="E34" i="9" s="1"/>
  <c r="AL33" i="9"/>
  <c r="F33" i="9" s="1"/>
  <c r="AM32" i="9"/>
  <c r="G32" i="9" s="1"/>
  <c r="AN31" i="9"/>
  <c r="H31" i="9" s="1"/>
  <c r="AO30" i="9"/>
  <c r="I30" i="9" s="1"/>
  <c r="AP29" i="9"/>
  <c r="J29" i="9" s="1"/>
  <c r="AQ28" i="9"/>
  <c r="K28" i="9" s="1"/>
  <c r="AI28" i="9"/>
  <c r="C28" i="9" s="1"/>
  <c r="AJ27" i="9"/>
  <c r="D27" i="9" s="1"/>
  <c r="AK26" i="9"/>
  <c r="E26" i="9" s="1"/>
  <c r="AL25" i="9"/>
  <c r="F25" i="9" s="1"/>
  <c r="AM24" i="9"/>
  <c r="G24" i="9" s="1"/>
  <c r="AN23" i="9"/>
  <c r="H23" i="9" s="1"/>
  <c r="AO22" i="9"/>
  <c r="I22" i="9" s="1"/>
  <c r="AJ18" i="9"/>
  <c r="D18" i="9" s="1"/>
  <c r="AJ10" i="9"/>
  <c r="D10" i="9" s="1"/>
  <c r="AM17" i="9"/>
  <c r="G17" i="9" s="1"/>
  <c r="AM9" i="9"/>
  <c r="G9" i="9" s="1"/>
  <c r="AN21" i="9"/>
  <c r="H21" i="9" s="1"/>
  <c r="AO35" i="9"/>
  <c r="I35" i="9" s="1"/>
  <c r="AK23" i="9"/>
  <c r="E23" i="9" s="1"/>
  <c r="AJ15" i="9"/>
  <c r="D15" i="9" s="1"/>
  <c r="AL37" i="9"/>
  <c r="F37" i="9" s="1"/>
  <c r="AQ32" i="9"/>
  <c r="K32" i="9" s="1"/>
  <c r="AI32" i="9"/>
  <c r="C32" i="9" s="1"/>
  <c r="AJ31" i="9"/>
  <c r="D31" i="9" s="1"/>
  <c r="AO26" i="9"/>
  <c r="I26" i="9" s="1"/>
  <c r="AQ24" i="9"/>
  <c r="K24" i="9" s="1"/>
  <c r="AI24" i="9"/>
  <c r="C24" i="9" s="1"/>
  <c r="AJ23" i="9"/>
  <c r="D23" i="9" s="1"/>
  <c r="AK21" i="9"/>
  <c r="E21" i="9" s="1"/>
  <c r="AO33" i="9"/>
  <c r="I33" i="9" s="1"/>
  <c r="AI31" i="9"/>
  <c r="C31" i="9" s="1"/>
  <c r="AN26" i="9"/>
  <c r="H26" i="9" s="1"/>
  <c r="AM12" i="9"/>
  <c r="G12" i="9" s="1"/>
  <c r="AP38" i="9"/>
  <c r="AO37" i="9"/>
  <c r="I37" i="9" s="1"/>
  <c r="AP36" i="9"/>
  <c r="J36" i="9" s="1"/>
  <c r="AQ35" i="9"/>
  <c r="K35" i="9" s="1"/>
  <c r="AI35" i="9"/>
  <c r="C35" i="9" s="1"/>
  <c r="AJ34" i="9"/>
  <c r="D34" i="9" s="1"/>
  <c r="AK33" i="9"/>
  <c r="E33" i="9" s="1"/>
  <c r="AM31" i="9"/>
  <c r="G31" i="9" s="1"/>
  <c r="AN30" i="9"/>
  <c r="H30" i="9" s="1"/>
  <c r="AO29" i="9"/>
  <c r="I29" i="9" s="1"/>
  <c r="AP28" i="9"/>
  <c r="J28" i="9" s="1"/>
  <c r="AQ27" i="9"/>
  <c r="K27" i="9" s="1"/>
  <c r="AI27" i="9"/>
  <c r="C27" i="9" s="1"/>
  <c r="AJ26" i="9"/>
  <c r="D26" i="9" s="1"/>
  <c r="AL24" i="9"/>
  <c r="F24" i="9" s="1"/>
  <c r="AM23" i="9"/>
  <c r="G23" i="9" s="1"/>
  <c r="AN22" i="9"/>
  <c r="H22" i="9" s="1"/>
  <c r="AO21" i="9"/>
  <c r="I21" i="9" s="1"/>
  <c r="Z10" i="2"/>
  <c r="AH10" i="9"/>
  <c r="B10" i="9" s="1"/>
  <c r="AJ17" i="9"/>
  <c r="D17" i="9" s="1"/>
  <c r="AJ9" i="9"/>
  <c r="D9" i="9" s="1"/>
  <c r="AM16" i="9"/>
  <c r="G16" i="9" s="1"/>
  <c r="AM8" i="9"/>
  <c r="G8" i="9" s="1"/>
  <c r="U17" i="2"/>
  <c r="AN17" i="9" s="1"/>
  <c r="H17" i="9" s="1"/>
  <c r="Z23" i="2"/>
  <c r="Z8" i="2"/>
  <c r="Z9" i="2"/>
  <c r="Z15" i="2"/>
  <c r="Z7" i="2"/>
  <c r="Z14" i="2"/>
  <c r="Z6" i="2"/>
  <c r="Z25" i="2"/>
  <c r="Z31" i="2"/>
  <c r="Z28" i="2"/>
  <c r="Z13" i="2"/>
  <c r="Z24" i="2"/>
  <c r="Z22" i="2"/>
  <c r="Z36" i="2"/>
  <c r="Z35" i="2"/>
  <c r="Z12" i="2"/>
  <c r="Z33" i="2"/>
  <c r="Z32" i="2"/>
  <c r="Z16" i="2"/>
  <c r="Z30" i="2"/>
  <c r="Z37" i="2"/>
  <c r="Z29" i="2"/>
  <c r="Z21" i="2"/>
  <c r="Z27" i="2"/>
  <c r="Z34" i="2"/>
  <c r="Z26" i="2"/>
  <c r="Z11" i="2"/>
  <c r="AK37" i="2"/>
  <c r="AV37" i="2" s="1"/>
  <c r="AK29" i="2"/>
  <c r="AV29" i="2" s="1"/>
  <c r="AH24" i="2"/>
  <c r="AS24" i="2" s="1"/>
  <c r="AO9" i="2"/>
  <c r="AC37" i="2"/>
  <c r="AN37" i="2" s="1"/>
  <c r="W20" i="2"/>
  <c r="AF34" i="2"/>
  <c r="AQ34" i="2" s="1"/>
  <c r="AC29" i="2"/>
  <c r="AK21" i="2"/>
  <c r="AV21" i="2" s="1"/>
  <c r="AF32" i="2"/>
  <c r="AQ32" i="2" s="1"/>
  <c r="AE25" i="2"/>
  <c r="AB10" i="2"/>
  <c r="AM10" i="2" s="1"/>
  <c r="AE26" i="2"/>
  <c r="AP26" i="2" s="1"/>
  <c r="P35" i="14"/>
  <c r="S35" i="14" s="1"/>
  <c r="N34" i="6"/>
  <c r="AO14" i="2"/>
  <c r="AB9" i="2"/>
  <c r="AM9" i="2" s="1"/>
  <c r="AE32" i="2"/>
  <c r="AP32" i="2" s="1"/>
  <c r="AC26" i="2"/>
  <c r="AN26" i="2" s="1"/>
  <c r="AK33" i="2"/>
  <c r="AV33" i="2" s="1"/>
  <c r="AJ26" i="2"/>
  <c r="AU26" i="2" s="1"/>
  <c r="AB16" i="2"/>
  <c r="AM16" i="2" s="1"/>
  <c r="AB8" i="2"/>
  <c r="AM8" i="2" s="1"/>
  <c r="AJ27" i="2"/>
  <c r="AU27" i="2" s="1"/>
  <c r="AJ25" i="2"/>
  <c r="AU25" i="2" s="1"/>
  <c r="AE22" i="2"/>
  <c r="AP22" i="2" s="1"/>
  <c r="AB7" i="2"/>
  <c r="AM7" i="2" s="1"/>
  <c r="AK24" i="2"/>
  <c r="AV24" i="2" s="1"/>
  <c r="AO13" i="2"/>
  <c r="AC24" i="2"/>
  <c r="AN24" i="2" s="1"/>
  <c r="AE37" i="2"/>
  <c r="AP37" i="2" s="1"/>
  <c r="AE29" i="2"/>
  <c r="AP29" i="2" s="1"/>
  <c r="AJ24" i="2"/>
  <c r="AU24" i="2" s="1"/>
  <c r="AC23" i="2"/>
  <c r="AN23" i="2" s="1"/>
  <c r="Q35" i="14"/>
  <c r="T35" i="14" s="1"/>
  <c r="O34" i="6"/>
  <c r="AO20" i="2"/>
  <c r="AO12" i="2"/>
  <c r="AO7" i="2"/>
  <c r="AO19" i="2"/>
  <c r="AO11" i="2"/>
  <c r="AO18" i="2"/>
  <c r="AO10" i="2"/>
  <c r="AO17" i="2"/>
  <c r="AO16" i="2"/>
  <c r="AO8" i="2"/>
  <c r="AO15" i="2"/>
  <c r="H29" i="3"/>
  <c r="J29" i="3" s="1"/>
  <c r="H16" i="3"/>
  <c r="J16" i="3" s="1"/>
  <c r="H34" i="3"/>
  <c r="J34" i="3" s="1"/>
  <c r="AQ21" i="2"/>
  <c r="AP25" i="2"/>
  <c r="AM14" i="2"/>
  <c r="AU22" i="2"/>
  <c r="AM25" i="2"/>
  <c r="AV22" i="2"/>
  <c r="AM34" i="2"/>
  <c r="AU36" i="2"/>
  <c r="AR32" i="2"/>
  <c r="AS31" i="2"/>
  <c r="AU29" i="2"/>
  <c r="AR24" i="2"/>
  <c r="AS23" i="2"/>
  <c r="AT22" i="2"/>
  <c r="AM12" i="2"/>
  <c r="AN29" i="2"/>
  <c r="AM33" i="2"/>
  <c r="AP33" i="2"/>
  <c r="AQ24" i="2"/>
  <c r="AR23" i="2"/>
  <c r="AU30" i="2"/>
  <c r="AU35" i="2"/>
  <c r="AM18" i="2"/>
  <c r="AR16" i="2"/>
  <c r="AR31" i="2"/>
  <c r="AM26" i="2"/>
  <c r="AR22" i="2"/>
  <c r="AR8" i="2"/>
  <c r="AT30" i="2"/>
  <c r="AS30" i="2"/>
  <c r="AP28" i="2"/>
  <c r="AN30" i="2"/>
  <c r="AR20" i="2"/>
  <c r="AR12" i="2"/>
  <c r="AV30" i="2"/>
  <c r="AN22" i="2"/>
  <c r="AM35" i="2"/>
  <c r="AM27" i="2"/>
  <c r="AT31" i="2"/>
  <c r="AP27" i="2"/>
  <c r="AQ26" i="2"/>
  <c r="AR25" i="2"/>
  <c r="AT23" i="2"/>
  <c r="AM13" i="2"/>
  <c r="AR19" i="2"/>
  <c r="AR11" i="2"/>
  <c r="AM31" i="2"/>
  <c r="AU34" i="2"/>
  <c r="AO32" i="2"/>
  <c r="AR29" i="2"/>
  <c r="AV25" i="2"/>
  <c r="AM17" i="2"/>
  <c r="AR15" i="2"/>
  <c r="AM30" i="2"/>
  <c r="AS35" i="2"/>
  <c r="AO31" i="2"/>
  <c r="AQ29" i="2"/>
  <c r="AT28" i="2"/>
  <c r="AM37" i="2"/>
  <c r="AT33" i="2"/>
  <c r="AV31" i="2"/>
  <c r="AN31" i="2"/>
  <c r="AR27" i="2"/>
  <c r="AS26" i="2"/>
  <c r="AT25" i="2"/>
  <c r="AV23" i="2"/>
  <c r="AO22" i="2"/>
  <c r="AM15" i="2"/>
  <c r="AR21" i="2"/>
  <c r="AR13" i="2"/>
  <c r="AM21" i="2"/>
  <c r="AQ31" i="2"/>
  <c r="AR30" i="2"/>
  <c r="AS29" i="2"/>
  <c r="AT21" i="2"/>
  <c r="AM24" i="2"/>
  <c r="AM23" i="2"/>
  <c r="AR37" i="2"/>
  <c r="AN33" i="2"/>
  <c r="AS28" i="2"/>
  <c r="AO24" i="2"/>
  <c r="AQ37" i="2"/>
  <c r="AU33" i="2"/>
  <c r="AP30" i="2"/>
  <c r="AR14" i="2"/>
  <c r="AM29" i="2"/>
  <c r="AP36" i="2"/>
  <c r="AR35" i="2"/>
  <c r="AS34" i="2"/>
  <c r="AU32" i="2"/>
  <c r="AO30" i="2"/>
  <c r="AM36" i="2"/>
  <c r="AM28" i="2"/>
  <c r="AO36" i="2"/>
  <c r="AQ35" i="2"/>
  <c r="AR34" i="2"/>
  <c r="AS33" i="2"/>
  <c r="AT32" i="2"/>
  <c r="AU31" i="2"/>
  <c r="AO28" i="2"/>
  <c r="AQ27" i="2"/>
  <c r="AR26" i="2"/>
  <c r="AS25" i="2"/>
  <c r="AT24" i="2"/>
  <c r="AU23" i="2"/>
  <c r="AN34" i="2"/>
  <c r="AO33" i="2"/>
  <c r="AU37" i="2"/>
  <c r="AQ30" i="2"/>
  <c r="AN25" i="2"/>
  <c r="AN32" i="2"/>
  <c r="AR33" i="2"/>
  <c r="AT36" i="2"/>
  <c r="AV34" i="2"/>
  <c r="AM11" i="2"/>
  <c r="AO25" i="2"/>
  <c r="AT35" i="2"/>
  <c r="AT27" i="2"/>
  <c r="AR7" i="2"/>
  <c r="AT34" i="2"/>
  <c r="AT26" i="2"/>
  <c r="AV36" i="2"/>
  <c r="AP34" i="2"/>
  <c r="AU28" i="2"/>
  <c r="AR18" i="2"/>
  <c r="AM32" i="2"/>
  <c r="AS36" i="2"/>
  <c r="AP31" i="2"/>
  <c r="AP23" i="2"/>
  <c r="AM22" i="2"/>
  <c r="AV32" i="2"/>
  <c r="AS27" i="2"/>
  <c r="AO23" i="2"/>
  <c r="AV26" i="2"/>
  <c r="AP35" i="2"/>
  <c r="AS32" i="2"/>
  <c r="AT37" i="2"/>
  <c r="AN36" i="2"/>
  <c r="AO35" i="2"/>
  <c r="AQ33" i="2"/>
  <c r="AT29" i="2"/>
  <c r="AV28" i="2"/>
  <c r="AN28" i="2"/>
  <c r="AO27" i="2"/>
  <c r="AQ25" i="2"/>
  <c r="AM20" i="2"/>
  <c r="AR10" i="2"/>
  <c r="AS37" i="2"/>
  <c r="AP21" i="2"/>
  <c r="AO37" i="2"/>
  <c r="AV35" i="2"/>
  <c r="AN35" i="2"/>
  <c r="AO34" i="2"/>
  <c r="AV27" i="2"/>
  <c r="AN27" i="2"/>
  <c r="AO26" i="2"/>
  <c r="AM19" i="2"/>
  <c r="AR17" i="2"/>
  <c r="AR9" i="2"/>
  <c r="AP24" i="2"/>
  <c r="AQ23" i="2"/>
  <c r="AO21" i="2"/>
  <c r="AO29" i="2"/>
  <c r="AR28" i="2"/>
  <c r="AR36" i="2"/>
  <c r="AQ36" i="2"/>
  <c r="AQ22" i="2"/>
  <c r="AQ28" i="2"/>
  <c r="AS22" i="2"/>
  <c r="J6" i="2" l="1"/>
  <c r="K6" i="2"/>
  <c r="H6" i="2"/>
  <c r="L14" i="9"/>
  <c r="P30" i="14"/>
  <c r="S30" i="14" s="1"/>
  <c r="N31" i="6"/>
  <c r="N30" i="6"/>
  <c r="O30" i="6"/>
  <c r="Q30" i="14"/>
  <c r="T30" i="14" s="1"/>
  <c r="T43" i="14" s="1"/>
  <c r="O31" i="6"/>
  <c r="Y17" i="4"/>
  <c r="AA17" i="4" s="1"/>
  <c r="Y35" i="4"/>
  <c r="AA35" i="4" s="1"/>
  <c r="Y30" i="4"/>
  <c r="AA30" i="4" s="1"/>
  <c r="AC37" i="4"/>
  <c r="L7" i="9"/>
  <c r="W44" i="4"/>
  <c r="W46" i="4"/>
  <c r="L32" i="9"/>
  <c r="L31" i="9"/>
  <c r="L6" i="9"/>
  <c r="L24" i="9"/>
  <c r="L9" i="9"/>
  <c r="L36" i="9"/>
  <c r="L23" i="9"/>
  <c r="L12" i="9"/>
  <c r="L16" i="9"/>
  <c r="L13" i="9"/>
  <c r="L28" i="9"/>
  <c r="L35" i="9"/>
  <c r="L22" i="9"/>
  <c r="L27" i="9"/>
  <c r="L8" i="9"/>
  <c r="L37" i="9"/>
  <c r="L29" i="9"/>
  <c r="L25" i="9"/>
  <c r="L33" i="9"/>
  <c r="L10" i="9"/>
  <c r="L30" i="9"/>
  <c r="L26" i="9"/>
  <c r="L11" i="9"/>
  <c r="L21" i="9"/>
  <c r="L15" i="9"/>
  <c r="L34" i="9"/>
  <c r="AH17" i="2"/>
  <c r="AS17" i="2" s="1"/>
  <c r="P17" i="2"/>
  <c r="AJ21" i="2"/>
  <c r="AU21" i="2" s="1"/>
  <c r="AP20" i="9"/>
  <c r="J20" i="9" s="1"/>
  <c r="U18" i="2"/>
  <c r="AN18" i="9" s="1"/>
  <c r="H18" i="9" s="1"/>
  <c r="AJ20" i="2"/>
  <c r="AU20" i="2" s="1"/>
  <c r="H31" i="3"/>
  <c r="J31" i="3" s="1"/>
  <c r="O35" i="6"/>
  <c r="O36" i="6"/>
  <c r="N36" i="6"/>
  <c r="N35" i="6"/>
  <c r="H17" i="3"/>
  <c r="J17" i="3" s="1"/>
  <c r="H35" i="3"/>
  <c r="J35" i="3" s="1"/>
  <c r="H36" i="3"/>
  <c r="J36" i="3" s="1"/>
  <c r="H30" i="3"/>
  <c r="J30" i="3" s="1"/>
  <c r="F6" i="6" l="1"/>
  <c r="E6" i="6"/>
  <c r="T40" i="14"/>
  <c r="F6" i="14" s="1"/>
  <c r="S45" i="14"/>
  <c r="S40" i="14"/>
  <c r="E6" i="14" s="1"/>
  <c r="S42" i="14"/>
  <c r="T45" i="14"/>
  <c r="S43" i="14"/>
  <c r="T42" i="14"/>
  <c r="Y18" i="4"/>
  <c r="AA18" i="4" s="1"/>
  <c r="AC17" i="2"/>
  <c r="AN17" i="2" s="1"/>
  <c r="Z17" i="2"/>
  <c r="AI17" i="9"/>
  <c r="C17" i="9" s="1"/>
  <c r="L17" i="9" s="1"/>
  <c r="P18" i="2"/>
  <c r="U19" i="2"/>
  <c r="P19" i="2" s="1"/>
  <c r="AI19" i="9" s="1"/>
  <c r="C19" i="9" s="1"/>
  <c r="AH18" i="2"/>
  <c r="AS18" i="2" s="1"/>
  <c r="H18" i="3"/>
  <c r="J18" i="3" s="1"/>
  <c r="S44" i="14" l="1"/>
  <c r="T46" i="14"/>
  <c r="T44" i="14"/>
  <c r="S46" i="14"/>
  <c r="Y19" i="4"/>
  <c r="AA19" i="4" s="1"/>
  <c r="AH19" i="2"/>
  <c r="AS19" i="2" s="1"/>
  <c r="Z18" i="2"/>
  <c r="AI18" i="9"/>
  <c r="C18" i="9" s="1"/>
  <c r="L18" i="9" s="1"/>
  <c r="U20" i="2"/>
  <c r="AN19" i="9"/>
  <c r="H19" i="9" s="1"/>
  <c r="L19" i="9" s="1"/>
  <c r="AC18" i="2"/>
  <c r="AN18" i="2" s="1"/>
  <c r="Z19" i="2"/>
  <c r="AC19" i="2"/>
  <c r="AN19" i="2" s="1"/>
  <c r="H19" i="3"/>
  <c r="J19" i="3" s="1"/>
  <c r="Y20" i="4" l="1"/>
  <c r="AA20" i="4" s="1"/>
  <c r="P20" i="2"/>
  <c r="AN20" i="9"/>
  <c r="H20" i="9" s="1"/>
  <c r="AH20" i="2"/>
  <c r="AS20" i="2" s="1"/>
  <c r="AS21" i="2"/>
  <c r="N43" i="9"/>
  <c r="H20" i="3"/>
  <c r="J20" i="3" s="1"/>
  <c r="Y21" i="4" l="1"/>
  <c r="AA21" i="4" s="1"/>
  <c r="Z20" i="2"/>
  <c r="AI20" i="9"/>
  <c r="C20" i="9" s="1"/>
  <c r="L20" i="9" s="1"/>
  <c r="AC21" i="2"/>
  <c r="AN21" i="2" s="1"/>
  <c r="AC20" i="2"/>
  <c r="AN20" i="2" s="1"/>
  <c r="N45" i="9"/>
  <c r="N42" i="9"/>
  <c r="N40" i="9"/>
  <c r="H21" i="3"/>
  <c r="J21" i="3" s="1"/>
  <c r="Y22" i="4" l="1"/>
  <c r="AA22" i="4" s="1"/>
  <c r="N46" i="9"/>
  <c r="N44" i="9"/>
  <c r="N42" i="11"/>
  <c r="H22" i="3"/>
  <c r="J22" i="3" s="1"/>
  <c r="Y23" i="4" l="1"/>
  <c r="AA23" i="4" s="1"/>
  <c r="N44" i="11"/>
  <c r="N39" i="11"/>
  <c r="N41" i="11"/>
  <c r="H23" i="3"/>
  <c r="J23" i="3" s="1"/>
  <c r="Y24" i="4" l="1"/>
  <c r="AA24" i="4" s="1"/>
  <c r="N45" i="11"/>
  <c r="N43" i="11"/>
  <c r="H24" i="3"/>
  <c r="J24" i="3" s="1"/>
  <c r="Y25" i="4" l="1"/>
  <c r="AA25" i="4" s="1"/>
  <c r="AA40" i="4" s="1"/>
  <c r="AA42" i="4"/>
  <c r="H25" i="3"/>
  <c r="J25" i="3" s="1"/>
  <c r="H26" i="3"/>
  <c r="AA45" i="4" l="1"/>
  <c r="AA43" i="4"/>
  <c r="J26" i="3"/>
  <c r="D6" i="3"/>
  <c r="AA46" i="4"/>
  <c r="AC12" i="4"/>
  <c r="AC20" i="4"/>
  <c r="AC28" i="4"/>
  <c r="AC36" i="4"/>
  <c r="AC13" i="4"/>
  <c r="AC21" i="4"/>
  <c r="AC29" i="4"/>
  <c r="AC6" i="4"/>
  <c r="AC14" i="4"/>
  <c r="AC22" i="4"/>
  <c r="AC30" i="4"/>
  <c r="AC7" i="4"/>
  <c r="AC15" i="4"/>
  <c r="AC23" i="4"/>
  <c r="AC31" i="4"/>
  <c r="AC8" i="4"/>
  <c r="AC16" i="4"/>
  <c r="AC24" i="4"/>
  <c r="AC32" i="4"/>
  <c r="AC9" i="4"/>
  <c r="AC17" i="4"/>
  <c r="AC25" i="4"/>
  <c r="AC33" i="4"/>
  <c r="AC10" i="4"/>
  <c r="AC18" i="4"/>
  <c r="AC26" i="4"/>
  <c r="AC34" i="4"/>
  <c r="AC19" i="4"/>
  <c r="AC27" i="4"/>
  <c r="AC35" i="4"/>
  <c r="AC11" i="4"/>
  <c r="AA44" i="4"/>
  <c r="AJ16" i="12"/>
  <c r="AS16" i="12" s="1"/>
  <c r="AM17" i="12"/>
  <c r="AN17" i="12" l="1"/>
  <c r="AM18" i="12"/>
  <c r="AJ17" i="12"/>
  <c r="AS17" i="12" s="1"/>
  <c r="AK16" i="12"/>
  <c r="AT16" i="12" s="1"/>
  <c r="S16" i="12" l="1"/>
  <c r="P16" i="12"/>
  <c r="AN18" i="12"/>
  <c r="AK17" i="12"/>
  <c r="AT17" i="12" s="1"/>
  <c r="AJ18" i="12"/>
  <c r="AS18" i="12" s="1"/>
  <c r="AM19" i="12"/>
  <c r="S17" i="12" l="1"/>
  <c r="P17" i="12"/>
  <c r="AN19" i="12"/>
  <c r="AK18" i="12"/>
  <c r="AT18" i="12" s="1"/>
  <c r="AJ19" i="12"/>
  <c r="AS19" i="12" s="1"/>
  <c r="AM20" i="12"/>
  <c r="S18" i="12" l="1"/>
  <c r="P18" i="12"/>
  <c r="AN20" i="12"/>
  <c r="AJ20" i="12"/>
  <c r="AS20" i="12" s="1"/>
  <c r="AM21" i="12"/>
  <c r="AK19" i="12"/>
  <c r="AT19" i="12" s="1"/>
  <c r="S19" i="12" l="1"/>
  <c r="P19" i="12"/>
  <c r="AN21" i="12"/>
  <c r="AM22" i="12"/>
  <c r="AJ21" i="12"/>
  <c r="AS21" i="12" s="1"/>
  <c r="AK20" i="12"/>
  <c r="AT20" i="12" s="1"/>
  <c r="S20" i="12" l="1"/>
  <c r="P20" i="12"/>
  <c r="AN22" i="12"/>
  <c r="AK21" i="12"/>
  <c r="AT21" i="12" s="1"/>
  <c r="AM23" i="12"/>
  <c r="AJ22" i="12"/>
  <c r="AS22" i="12" s="1"/>
  <c r="S21" i="12" l="1"/>
  <c r="P21" i="12"/>
  <c r="AN23" i="12"/>
  <c r="AK22" i="12"/>
  <c r="AT22" i="12" s="1"/>
  <c r="AJ23" i="12"/>
  <c r="AS23" i="12" s="1"/>
  <c r="AM24" i="12"/>
  <c r="S22" i="12" l="1"/>
  <c r="P22" i="12"/>
  <c r="AN24" i="12"/>
  <c r="AM25" i="12"/>
  <c r="AJ24" i="12"/>
  <c r="AS24" i="12" s="1"/>
  <c r="AK23" i="12"/>
  <c r="AT23" i="12" s="1"/>
  <c r="S23" i="12" l="1"/>
  <c r="P23" i="12"/>
  <c r="AN25" i="12"/>
  <c r="AK24" i="12"/>
  <c r="AT24" i="12" s="1"/>
  <c r="AJ25" i="12"/>
  <c r="AS25" i="12" s="1"/>
  <c r="S24" i="12" l="1"/>
  <c r="P24" i="12"/>
  <c r="AK25" i="12"/>
  <c r="AT25" i="12" s="1"/>
  <c r="S25" i="12" l="1"/>
  <c r="P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06738F17-0C67-F246-9C9F-ED51FF1963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9EE8BBC-577F-A848-8D01-CEE2A23F7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sharedStrings.xml><?xml version="1.0" encoding="utf-8"?>
<sst xmlns="http://schemas.openxmlformats.org/spreadsheetml/2006/main" count="1914" uniqueCount="448">
  <si>
    <t>Trams</t>
  </si>
  <si>
    <t>Trolleybus</t>
  </si>
  <si>
    <t>Total units</t>
  </si>
  <si>
    <t>Minibus</t>
  </si>
  <si>
    <t>Cars</t>
  </si>
  <si>
    <t>https://opendata.swiss/en/dataset/bestand-der-strassenfahrzeuge-nach-fahrzeuggruppe-und-fahrzeugart-ab-19902</t>
  </si>
  <si>
    <t>Source 1</t>
  </si>
  <si>
    <t>Source 2</t>
  </si>
  <si>
    <t>Fahrzeuge und Transportmittelbestände des Personenverkehrs</t>
  </si>
  <si>
    <t>ICEG</t>
  </si>
  <si>
    <t>ICED</t>
  </si>
  <si>
    <t>PHEVG</t>
  </si>
  <si>
    <t>PHEVD</t>
  </si>
  <si>
    <t>BEV</t>
  </si>
  <si>
    <t>Diesel</t>
  </si>
  <si>
    <t>Electricity</t>
  </si>
  <si>
    <t>Other</t>
  </si>
  <si>
    <t>Petrol</t>
  </si>
  <si>
    <t>Grand Total</t>
  </si>
  <si>
    <t>https://opendata.swiss/en/dataset/bestand-der-personenwagen-nach-technischen-merkmalen-ab-20052</t>
  </si>
  <si>
    <t>Other Total</t>
  </si>
  <si>
    <t>HEVD</t>
  </si>
  <si>
    <t>HEVG</t>
  </si>
  <si>
    <t>ICENG</t>
  </si>
  <si>
    <t>FCEV</t>
  </si>
  <si>
    <t>Share</t>
  </si>
  <si>
    <t>Zenodo</t>
  </si>
  <si>
    <t>Technology specific</t>
  </si>
  <si>
    <t>Total Units</t>
  </si>
  <si>
    <t>Own calculation</t>
  </si>
  <si>
    <t>Tech specific</t>
  </si>
  <si>
    <t>Retired units</t>
  </si>
  <si>
    <t>Aggregated passenger cars</t>
  </si>
  <si>
    <t>https://opendata.swiss/en/dataset/neue-inverkehrsetzungen-von-strassenfahrzeugen-nach-fahrzeuggruppe-und-fahrzeugart2/resource/48e8a4f2-19ee-498d-ad6f-316180b0940b</t>
  </si>
  <si>
    <t>-</t>
  </si>
  <si>
    <t>.</t>
  </si>
  <si>
    <t>Pivot road cars</t>
  </si>
  <si>
    <t>Electric</t>
  </si>
  <si>
    <t>Seats</t>
  </si>
  <si>
    <t>train-km</t>
  </si>
  <si>
    <t>Average</t>
  </si>
  <si>
    <t>car/train</t>
  </si>
  <si>
    <t>seat/train</t>
  </si>
  <si>
    <t>OFS data</t>
  </si>
  <si>
    <t>Estimated</t>
  </si>
  <si>
    <t>Trains</t>
  </si>
  <si>
    <t>New units</t>
  </si>
  <si>
    <t>Ret. units</t>
  </si>
  <si>
    <t>Estimations based on vkm data</t>
  </si>
  <si>
    <t>Growth Rate</t>
  </si>
  <si>
    <t>Transport de personnes: prestations kilométriques et mouvements des véhicules</t>
  </si>
  <si>
    <t>Group</t>
  </si>
  <si>
    <t>Fuel</t>
  </si>
  <si>
    <t>Diesel/Elec</t>
  </si>
  <si>
    <t>Gasoline</t>
  </si>
  <si>
    <t>Nat. Gas</t>
  </si>
  <si>
    <t>Hydrogen</t>
  </si>
  <si>
    <t>Public Bus</t>
  </si>
  <si>
    <t>Mixed</t>
  </si>
  <si>
    <t>Total</t>
  </si>
  <si>
    <t>... Articulated bus</t>
  </si>
  <si>
    <t>Articulated bus</t>
  </si>
  <si>
    <t>Coach, bus</t>
  </si>
  <si>
    <t>Heavy motor vehicle</t>
  </si>
  <si>
    <t>Light motor vehicle</t>
  </si>
  <si>
    <t>Private "cars"</t>
  </si>
  <si>
    <t>Other OFS data</t>
  </si>
  <si>
    <t>Zotero</t>
  </si>
  <si>
    <t xml:space="preserve">Data more or less matches between documents. </t>
  </si>
  <si>
    <t>Private "light vehicles" and "heavy vehicles" were removed since they do not seem to feature in national accounts of VKM, PKM or aggregated units.</t>
  </si>
  <si>
    <t>Comment</t>
  </si>
  <si>
    <t>Rail</t>
  </si>
  <si>
    <t>Diesel-electricity: conventional hybrid</t>
  </si>
  <si>
    <t>Diesel-electricity: plug-in hybrid</t>
  </si>
  <si>
    <t>Gas (monovalent and bivalent)</t>
  </si>
  <si>
    <t>Petrol-electricity: conventional hybrid</t>
  </si>
  <si>
    <t>Petrol-electricity: plug-in hybrid</t>
  </si>
  <si>
    <t>… Coach, bus</t>
  </si>
  <si>
    <t>OFS Data</t>
  </si>
  <si>
    <t>Swiss cars</t>
  </si>
  <si>
    <t>Tourist cars</t>
  </si>
  <si>
    <t>All privCars</t>
  </si>
  <si>
    <t>Abs mismatch</t>
  </si>
  <si>
    <t>Share Swiss</t>
  </si>
  <si>
    <t>Share Tourist</t>
  </si>
  <si>
    <t>Variance</t>
  </si>
  <si>
    <t>SD</t>
  </si>
  <si>
    <t>Mvkm (OFS data)</t>
  </si>
  <si>
    <t>Mvkm (estimated)</t>
  </si>
  <si>
    <t>Test</t>
  </si>
  <si>
    <t>Unit</t>
  </si>
  <si>
    <t>Mvkm</t>
  </si>
  <si>
    <t>units</t>
  </si>
  <si>
    <t>Activity</t>
  </si>
  <si>
    <t>Mvkm/unit</t>
  </si>
  <si>
    <t>SD%</t>
  </si>
  <si>
    <t>AAD</t>
  </si>
  <si>
    <t>AAD%</t>
  </si>
  <si>
    <t>Zenodo (estimates)</t>
  </si>
  <si>
    <t>Input efficiency</t>
  </si>
  <si>
    <t>Passengers moved (OFS data)</t>
  </si>
  <si>
    <t>Mpkm</t>
  </si>
  <si>
    <t>Calcs for VKM</t>
  </si>
  <si>
    <t>Swiss perf.</t>
  </si>
  <si>
    <t>Total Swiss</t>
  </si>
  <si>
    <t>Swiss Cars</t>
  </si>
  <si>
    <t>Output eff.</t>
  </si>
  <si>
    <t>Mpkm/unit</t>
  </si>
  <si>
    <t>Occupancy</t>
  </si>
  <si>
    <t>Transport de personnes: prestations de transport</t>
  </si>
  <si>
    <t>See sheet</t>
  </si>
  <si>
    <t>Total cars</t>
  </si>
  <si>
    <t>Cap 2 Act</t>
  </si>
  <si>
    <t>Output calcs</t>
  </si>
  <si>
    <t>litre_diesel/100 km</t>
  </si>
  <si>
    <t>lge/100 km</t>
  </si>
  <si>
    <t>Hybrid</t>
  </si>
  <si>
    <t>Vehicle eff. (OFS data)</t>
  </si>
  <si>
    <t xml:space="preserve">Energieverbrauch und Energieeffizienz der neuen Personenwagen (PW) </t>
  </si>
  <si>
    <t>Vehicle eff. (IEA data, ADV ≥ 1)</t>
  </si>
  <si>
    <t>kWh/100 km</t>
  </si>
  <si>
    <t>HEV imp.  (estimate)</t>
  </si>
  <si>
    <t>Mvkm/kWh</t>
  </si>
  <si>
    <t>Mvkm/litre_diesel</t>
  </si>
  <si>
    <t>Mvkm/lge</t>
  </si>
  <si>
    <t>Input calcs</t>
  </si>
  <si>
    <t>Inv Cost</t>
  </si>
  <si>
    <t>Average car</t>
  </si>
  <si>
    <t>EUR2020/unit</t>
  </si>
  <si>
    <t>kW</t>
  </si>
  <si>
    <t>Learning rates</t>
  </si>
  <si>
    <t>Power</t>
  </si>
  <si>
    <t>PHEV</t>
  </si>
  <si>
    <t>https://www.iea.org/data-and-statistics/data-tools/global-ev-data-explorer</t>
  </si>
  <si>
    <t>Price differential</t>
  </si>
  <si>
    <t>EUR2015/kW</t>
  </si>
  <si>
    <t>HEV</t>
  </si>
  <si>
    <t>BEV, PHEV</t>
  </si>
  <si>
    <t>10.1016/j.jclepro.2018.12.019</t>
  </si>
  <si>
    <t>10.1016/j.enpol.2012.05.038</t>
  </si>
  <si>
    <t>EUR2010/kW</t>
  </si>
  <si>
    <t>HEV US</t>
  </si>
  <si>
    <t>HEV DE</t>
  </si>
  <si>
    <t>ICE US</t>
  </si>
  <si>
    <t>ICE DE</t>
  </si>
  <si>
    <t>Specific price HEVs</t>
  </si>
  <si>
    <t>Specific price ICEs</t>
  </si>
  <si>
    <t>Price differential HEV (vs ICE)</t>
  </si>
  <si>
    <t>Fig. 6.</t>
  </si>
  <si>
    <t>Fig. 3.</t>
  </si>
  <si>
    <t>SPICE = SPHEV - PDHEV</t>
  </si>
  <si>
    <t>ICE AVG</t>
  </si>
  <si>
    <t>HEV AVG</t>
  </si>
  <si>
    <t>%</t>
  </si>
  <si>
    <t>Corresponds with Fig. 4</t>
  </si>
  <si>
    <t>IEA</t>
  </si>
  <si>
    <t>Estimated price increases (x/ICEV)</t>
  </si>
  <si>
    <t>Estimated price increase (HEVx/ICEx)</t>
  </si>
  <si>
    <t>FUEL ECONOMY IN MAJOR CAR MARKETS  2005-2017</t>
  </si>
  <si>
    <t>Table 5, average of all types</t>
  </si>
  <si>
    <t>Specific price</t>
  </si>
  <si>
    <t>ICE eq BEV</t>
  </si>
  <si>
    <t>ICE eq PHEV</t>
  </si>
  <si>
    <t>Estimated price increase</t>
  </si>
  <si>
    <t>Var Cost</t>
  </si>
  <si>
    <t>10.1016/j.trd.2021.103110</t>
  </si>
  <si>
    <t>From supplementary tables, Medium vehicles</t>
  </si>
  <si>
    <t xml:space="preserve">HEV cost. Weiss et al 2012 </t>
  </si>
  <si>
    <t>BEV, PHEV cost. Weiss et al 2019</t>
  </si>
  <si>
    <t>Unit calc</t>
  </si>
  <si>
    <t>Cap2Act</t>
  </si>
  <si>
    <t>Elec</t>
  </si>
  <si>
    <t>ERailP</t>
  </si>
  <si>
    <t>Capacity</t>
  </si>
  <si>
    <t>Mtrain-km</t>
  </si>
  <si>
    <t>Mcar-km</t>
  </si>
  <si>
    <t>Mseat-km</t>
  </si>
  <si>
    <t>Calc. Total Units</t>
  </si>
  <si>
    <t>Calc. New Units</t>
  </si>
  <si>
    <t>Lifetime</t>
  </si>
  <si>
    <t>IEA-ETSAP (generic)</t>
  </si>
  <si>
    <t>Calculation</t>
  </si>
  <si>
    <t>IEA.ETSAP</t>
  </si>
  <si>
    <t>Table 8.8</t>
  </si>
  <si>
    <t>LF</t>
  </si>
  <si>
    <t>All</t>
  </si>
  <si>
    <t>Max</t>
  </si>
  <si>
    <t>Min</t>
  </si>
  <si>
    <t>pkm/vkm</t>
  </si>
  <si>
    <t>vkm (OFS data)</t>
  </si>
  <si>
    <t>vkm (Estimates)</t>
  </si>
  <si>
    <t>people/seat</t>
  </si>
  <si>
    <t>vkm rates</t>
  </si>
  <si>
    <t>pkm</t>
  </si>
  <si>
    <t>Mseat-km/car</t>
  </si>
  <si>
    <t>seat/car</t>
  </si>
  <si>
    <t>Seat travel</t>
  </si>
  <si>
    <t>Input eff</t>
  </si>
  <si>
    <t>Output eff</t>
  </si>
  <si>
    <t>Buildrate</t>
  </si>
  <si>
    <t>yr</t>
  </si>
  <si>
    <t>units (cars)</t>
  </si>
  <si>
    <t>PRailE</t>
  </si>
  <si>
    <t>Tram</t>
  </si>
  <si>
    <t>pkm (OFS data)</t>
  </si>
  <si>
    <t>TJ</t>
  </si>
  <si>
    <t>Average cost of an EMU/66 seats</t>
  </si>
  <si>
    <t>https://doi.org/10.17226/22149</t>
  </si>
  <si>
    <t>EUR2015/unit</t>
  </si>
  <si>
    <t>SBB Opex</t>
  </si>
  <si>
    <t>long-distance</t>
  </si>
  <si>
    <t>regional</t>
  </si>
  <si>
    <t>MCHFx/yr</t>
  </si>
  <si>
    <t>SBB Statistics portal</t>
  </si>
  <si>
    <t>https://reporting.sbb.ch/?=&amp;scroll=0</t>
  </si>
  <si>
    <t>SBB travel</t>
  </si>
  <si>
    <t>Estimated OPEX</t>
  </si>
  <si>
    <t>all passenger</t>
  </si>
  <si>
    <t>Mseat-km offered/yr</t>
  </si>
  <si>
    <t>CHFx/seat-km</t>
  </si>
  <si>
    <t>Mvkm/TJ</t>
  </si>
  <si>
    <t xml:space="preserve">IEA Technology Perspectives 2010, assuming passengers do not impact </t>
  </si>
  <si>
    <t>leq/vkm</t>
  </si>
  <si>
    <t>MJ/leq</t>
  </si>
  <si>
    <t>MJ/vkm</t>
  </si>
  <si>
    <t>Input eff calculation</t>
  </si>
  <si>
    <t>https://transport.ec.europa.eu/transport-themes/clean-transport-urban-transport/sumi_en</t>
  </si>
  <si>
    <t>European Comission: Sustainable Mobility Indicators</t>
  </si>
  <si>
    <t>Seats-train</t>
  </si>
  <si>
    <t>MJ/seat-vkm</t>
  </si>
  <si>
    <t>Mseat-km/TJ</t>
  </si>
  <si>
    <t>EUR2015/car</t>
  </si>
  <si>
    <t>Avg. EMU cost</t>
  </si>
  <si>
    <t>Alternative Funding and Financing Mechanisms for Passenger and Freight Rail Projects</t>
  </si>
  <si>
    <t>https://nap.nationalacademies.org/catalog/22149/alternative-funding-and-financing-mechanisms-for-passenger-and-freight-rail-projects</t>
  </si>
  <si>
    <t>Mpkm/Mseat-km</t>
  </si>
  <si>
    <t>Output Eff</t>
  </si>
  <si>
    <t>Cost of a metro rail car</t>
  </si>
  <si>
    <t>Sustainable Transport: A Sourcebook for Policy-makers in Developing Cities. Module 3a. Mass Transit Options</t>
  </si>
  <si>
    <t>USDx/unit</t>
  </si>
  <si>
    <t>Vehicle units</t>
  </si>
  <si>
    <t>Cap. To Act.</t>
  </si>
  <si>
    <t>Input</t>
  </si>
  <si>
    <t>Output</t>
  </si>
  <si>
    <t>Mpkm/Mvkm</t>
  </si>
  <si>
    <t>Energy used</t>
  </si>
  <si>
    <t>EUR2020/Mvkm</t>
  </si>
  <si>
    <t>CHFx/Mseat-km</t>
  </si>
  <si>
    <t>Same as rail</t>
  </si>
  <si>
    <t>Ret. Units</t>
  </si>
  <si>
    <t>Ret units</t>
  </si>
  <si>
    <t>Calc total units</t>
  </si>
  <si>
    <t>Calc new units</t>
  </si>
  <si>
    <t>Ebus</t>
  </si>
  <si>
    <t>Dbus</t>
  </si>
  <si>
    <t>Gbus</t>
  </si>
  <si>
    <t>Aggregates</t>
  </si>
  <si>
    <t>all buses</t>
  </si>
  <si>
    <t>Mixed?</t>
  </si>
  <si>
    <t>Buses</t>
  </si>
  <si>
    <t>Priv. Buses</t>
  </si>
  <si>
    <t>Lf min</t>
  </si>
  <si>
    <t>Lf max</t>
  </si>
  <si>
    <t>Mvkm OFS</t>
  </si>
  <si>
    <t>Learning rate</t>
  </si>
  <si>
    <t>https://assets.bbhub.io/professional/sites/24/2018/05/Electric-Buses-in-Cities-Report-BNEF-C40-Citi.pdf</t>
  </si>
  <si>
    <t>Tab 8. 250kWh e-bus</t>
  </si>
  <si>
    <t>USD2017/unit</t>
  </si>
  <si>
    <t>Battery price</t>
  </si>
  <si>
    <t>e-bus</t>
  </si>
  <si>
    <t>USD2017/kWh</t>
  </si>
  <si>
    <t>USD2017</t>
  </si>
  <si>
    <t>Bus Batt Size</t>
  </si>
  <si>
    <t>kWh</t>
  </si>
  <si>
    <t>Bus no batt.</t>
  </si>
  <si>
    <t>Bus t. cost</t>
  </si>
  <si>
    <t>Bat cost</t>
  </si>
  <si>
    <t>Bus lifetime. Bloomberg</t>
  </si>
  <si>
    <t>Bloomberg.</t>
  </si>
  <si>
    <t>T7</t>
  </si>
  <si>
    <t>T8</t>
  </si>
  <si>
    <t>Assumption: 20% less efficent than diesel</t>
  </si>
  <si>
    <t>10.1049/iet-est.2019.0014</t>
  </si>
  <si>
    <t xml:space="preserve"> </t>
  </si>
  <si>
    <t>Meishner et al. 2020</t>
  </si>
  <si>
    <t>Cost of Trolley (no battery). Table 8</t>
  </si>
  <si>
    <t>EURx/unit</t>
  </si>
  <si>
    <t>EURx/Mvkm</t>
  </si>
  <si>
    <t>Assumption: 20% higher than Trolleybuses</t>
  </si>
  <si>
    <t>Without motor</t>
  </si>
  <si>
    <t>L2We</t>
  </si>
  <si>
    <t>L2Wg</t>
  </si>
  <si>
    <t>Motorcycles</t>
  </si>
  <si>
    <t>10.1016/j.trd.2015.09.007</t>
  </si>
  <si>
    <t>Weiss et al. 2015</t>
  </si>
  <si>
    <t>Weiss et al. 2015. Table A1</t>
  </si>
  <si>
    <t>Specific unit</t>
  </si>
  <si>
    <t>2We</t>
  </si>
  <si>
    <t>2Wg</t>
  </si>
  <si>
    <t>EUR2012/kWh</t>
  </si>
  <si>
    <t>EUR2012/kW</t>
  </si>
  <si>
    <t>EUR2012/unit</t>
  </si>
  <si>
    <t>EURO2012/Mvkm</t>
  </si>
  <si>
    <t>Speed</t>
  </si>
  <si>
    <t>short</t>
  </si>
  <si>
    <t>long</t>
  </si>
  <si>
    <t>https://www.ch.ch/en/vehicles-and-traffic/how-to-behave-in-road-traffic/traffic-regulations/driving-over-the-speed-limit/</t>
  </si>
  <si>
    <t>Speed limits</t>
  </si>
  <si>
    <t>Figure 18. Fuel Economy in Major Car Markets: Technology and Policy Drivers 2005-2017</t>
  </si>
  <si>
    <t>https://www.iea.org/reports/fuel-economy-in-major-car-markets</t>
  </si>
  <si>
    <t>FSO, Transport de personnes: prestations kilométriques et mouvements des véhicules 2023</t>
  </si>
  <si>
    <t>https://www.bfs.admin.ch/asset/fr/24085241</t>
  </si>
  <si>
    <t>Maintenance expenses of a trolleybus of 120 at 40% occupancy. No infrastructure.</t>
  </si>
  <si>
    <t>Train costs</t>
  </si>
  <si>
    <t>Maintenance expenses overnight expense case, 80 passenger at 40% occupancy. No infrastructure.</t>
  </si>
  <si>
    <t>Mvkm/Mpkm</t>
  </si>
  <si>
    <t>Calc large bikes</t>
  </si>
  <si>
    <t>Calc small bikes</t>
  </si>
  <si>
    <t>eBike share</t>
  </si>
  <si>
    <t>electric</t>
  </si>
  <si>
    <t>petrol</t>
  </si>
  <si>
    <t>Moped/e-bike</t>
  </si>
  <si>
    <t>Petrol share</t>
  </si>
  <si>
    <t>Motorcylces</t>
  </si>
  <si>
    <t>https://www.are.admin.ch/are/en/home/mobility/data/mtmc.html</t>
  </si>
  <si>
    <t>FSO, Population’s travel behaviour 2015</t>
  </si>
  <si>
    <t>OFS, new stock, combined large 2wheelers</t>
  </si>
  <si>
    <t>Calc. New units small/medium</t>
  </si>
  <si>
    <t>Calc. New units large</t>
  </si>
  <si>
    <t xml:space="preserve">Trams </t>
  </si>
  <si>
    <t>Motocycles</t>
  </si>
  <si>
    <t>Rack railway</t>
  </si>
  <si>
    <t>Railway</t>
  </si>
  <si>
    <t>Public transport</t>
  </si>
  <si>
    <t>Private transport</t>
  </si>
  <si>
    <t>Soft mobility</t>
  </si>
  <si>
    <t>Cable</t>
  </si>
  <si>
    <t>Water</t>
  </si>
  <si>
    <t>Public boats</t>
  </si>
  <si>
    <t>Funicular</t>
  </si>
  <si>
    <t>Aerial trams</t>
  </si>
  <si>
    <t>On foot</t>
  </si>
  <si>
    <t>Bicycles</t>
  </si>
  <si>
    <t>Medium bikes</t>
  </si>
  <si>
    <t>Cars (tourism)</t>
  </si>
  <si>
    <t>Cars (Swiss)</t>
  </si>
  <si>
    <t>Cars (all)</t>
  </si>
  <si>
    <t>share swiss</t>
  </si>
  <si>
    <t>Estimated swiss</t>
  </si>
  <si>
    <t>Modelled</t>
  </si>
  <si>
    <t>Long</t>
  </si>
  <si>
    <t>Car split</t>
  </si>
  <si>
    <t>FSO</t>
  </si>
  <si>
    <t>https://www.are.admin.ch/are/de/home/mobilitaet/grundlagen-und-daten/mzmv.html</t>
  </si>
  <si>
    <t>Total split</t>
  </si>
  <si>
    <t>Estimated tourism</t>
  </si>
  <si>
    <t>Swiss demand</t>
  </si>
  <si>
    <t>Name</t>
  </si>
  <si>
    <t>Technologies</t>
  </si>
  <si>
    <t>Used?</t>
  </si>
  <si>
    <t>Author</t>
  </si>
  <si>
    <t>Link</t>
  </si>
  <si>
    <t>Passenger transport performance</t>
  </si>
  <si>
    <t>Data</t>
  </si>
  <si>
    <t>Yes</t>
  </si>
  <si>
    <t>https://www.bfs.admin.ch/bfs/en/home/statistics/mobility-transport/passenger-transport/performance.html</t>
  </si>
  <si>
    <t>License</t>
  </si>
  <si>
    <t xml:space="preserve">Stock of road vehicles by vehicle group and type, since 1990 </t>
  </si>
  <si>
    <t>ctot</t>
  </si>
  <si>
    <t>HEVs, PHEVs, FCEVs and ICENGs are aggregated into "other"</t>
  </si>
  <si>
    <t>Years</t>
  </si>
  <si>
    <t>1960-2021</t>
  </si>
  <si>
    <t>1990-2022</t>
  </si>
  <si>
    <t>New registrations of road vehicles by vehicle group and type</t>
  </si>
  <si>
    <t>cnew</t>
  </si>
  <si>
    <t>2005-2022</t>
  </si>
  <si>
    <t>Cars, buses, motorcycles and powered bicycles are aggregated</t>
  </si>
  <si>
    <t>Disaggregated by powertrain</t>
  </si>
  <si>
    <t>Public Transport</t>
  </si>
  <si>
    <t>OPEN-BY-ASK</t>
  </si>
  <si>
    <t>ctot
efficiency
Mvkm</t>
  </si>
  <si>
    <t xml:space="preserve"> 	1990, 1995, 2000-2021</t>
  </si>
  <si>
    <t>Efficiency of rail is aggregated with freight, so it cannot be used</t>
  </si>
  <si>
    <t>https://www.bfs.admin.ch/bfs/de/home/statistiken/mobilitaet-verkehr/querschnittsthemen/oeffentlicher-verkehr.assetdetail.23725822.html</t>
  </si>
  <si>
    <t>Grouping</t>
  </si>
  <si>
    <t>Fully electric and plug-in hybrid cars - An analysis of learning rates, user costs, and costs for mitigating CO2 and air pollutant emissions</t>
  </si>
  <si>
    <t>Weiss et al</t>
  </si>
  <si>
    <t>cost_inv</t>
  </si>
  <si>
    <t>2010-2016+</t>
  </si>
  <si>
    <t>CC-BY</t>
  </si>
  <si>
    <t>https://doi.org/10.1016/j.jclepro.2018.12.019</t>
  </si>
  <si>
    <t>Based on learning rates</t>
  </si>
  <si>
    <t>On the electrification of road transport - Learning rates and price forecasts for hybrid-electric and battery-electric vehicles</t>
  </si>
  <si>
    <t>1997-2010</t>
  </si>
  <si>
    <t>Passenger Cars</t>
  </si>
  <si>
    <t>http://dx.doi.org/10.1016/j.enpol.2012.05.038</t>
  </si>
  <si>
    <t>Passenger car cost development through 2050</t>
  </si>
  <si>
    <t>Grube et al</t>
  </si>
  <si>
    <t>https://pubdb.bfe.admin.ch/de/publication/download/10946</t>
  </si>
  <si>
    <t>efficiency</t>
  </si>
  <si>
    <t>Mvkm
Mpkm</t>
  </si>
  <si>
    <t>1995-2020</t>
  </si>
  <si>
    <t>ICEg, ICEd, BEV</t>
  </si>
  <si>
    <t>No data for HEVs or PHEVs</t>
  </si>
  <si>
    <t>Energieverbrauch und Energieeffizienz der neuen Personenwagen und leichten Nutzfahrzeuge 2021</t>
  </si>
  <si>
    <t>ICEg, ICEng, HEVg, PHEVg, BEV, FCEV</t>
  </si>
  <si>
    <t>Rail, bus, trolleybuse, tram</t>
  </si>
  <si>
    <t>Passenger car, Bus, Motorcycle, Powered bicycle</t>
  </si>
  <si>
    <r>
      <t xml:space="preserve">Passenger car, </t>
    </r>
    <r>
      <rPr>
        <sz val="12"/>
        <color theme="1"/>
        <rFont val="Calibri (Body)"/>
      </rPr>
      <t>Tram, Bus, Trolleybus,
Motorcycle, Powered bicycle, On foot, Bicycle</t>
    </r>
  </si>
  <si>
    <t>cost_inv, cost_var</t>
  </si>
  <si>
    <t>Only used var_om. Shows how "initial" cost assumptions vary widely between studies</t>
  </si>
  <si>
    <t>https://doi.org/10.1016/j.trd.2021.103110</t>
  </si>
  <si>
    <t>2005-2017</t>
  </si>
  <si>
    <t>efficiency,
cost_inv</t>
  </si>
  <si>
    <t>ICEg, ICEd, HEV, PHEV, BEV</t>
  </si>
  <si>
    <t>https://iea.blob.core.windows.net/assets/66965fb0-87c9-4bc7-990d-a509a1646956/Fuel_Economy_in_Major_Car_Markets.pdf</t>
  </si>
  <si>
    <t>Efficiency difference between diesel, gasoline and HEVs. Price difference between ref. ICEg and ICEd, HEVg</t>
  </si>
  <si>
    <t>Passenger Rail</t>
  </si>
  <si>
    <t>CPCS</t>
  </si>
  <si>
    <t>SBB</t>
  </si>
  <si>
    <t>cost_var</t>
  </si>
  <si>
    <t>2018-2022</t>
  </si>
  <si>
    <t>SBB Facts and Figures</t>
  </si>
  <si>
    <t>Operating expenses of long and regional rail</t>
  </si>
  <si>
    <t>SUMI indicators</t>
  </si>
  <si>
    <t>European Comission</t>
  </si>
  <si>
    <t>?</t>
  </si>
  <si>
    <t>Rail, Tram, Metro, Bus, Waterways</t>
  </si>
  <si>
    <t>Only took value for rail. Link is broken for some reason?</t>
  </si>
  <si>
    <t>Technical and economic comparison ofdifferent electric bus concepts based onactual demonstrations in European cities</t>
  </si>
  <si>
    <t>Meishner et al</t>
  </si>
  <si>
    <t>BUSd, BUSe, Trolley</t>
  </si>
  <si>
    <t>efficiency, lifetime, cost_inv, cost_var</t>
  </si>
  <si>
    <t>Assumed the tolley has no battery. Used overnight charging option for buses</t>
  </si>
  <si>
    <t>https://doi.org/10.1049/iet-est.2019.0014</t>
  </si>
  <si>
    <t>2 wheels</t>
  </si>
  <si>
    <t>On the electrification of road transportation – A review of the environmental, economic, and social performance of electric two-wheelers</t>
  </si>
  <si>
    <t>1999-2012</t>
  </si>
  <si>
    <t>Motorcycle, e-bike</t>
  </si>
  <si>
    <t>https://doi.org/10.1016/j.trd.2015.09.007</t>
  </si>
  <si>
    <t>Only used e-bikes and gasoline motorcycles.</t>
  </si>
  <si>
    <t>Electric Buses
in Cities</t>
  </si>
  <si>
    <t>BloombergNEF</t>
  </si>
  <si>
    <t>Closed</t>
  </si>
  <si>
    <t>cost_inv, efficiency</t>
  </si>
  <si>
    <t>2010-2017</t>
  </si>
  <si>
    <t>BUSd, BUSe</t>
  </si>
  <si>
    <t>Used to estimate cost of an electric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</si>
</sst>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28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b/>
      <sz val="36"/>
      <color rgb="FF9C5700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18"/>
      <color rgb="FF9C5700"/>
      <name val="Calibri"/>
      <family val="2"/>
      <scheme val="minor"/>
    </font>
    <font>
      <b/>
      <sz val="22"/>
      <color rgb="FF9C5700"/>
      <name val="Calibri"/>
      <family val="2"/>
      <scheme val="minor"/>
    </font>
    <font>
      <b/>
      <sz val="24"/>
      <color rgb="FF9C5700"/>
      <name val="Calibri"/>
      <family val="2"/>
      <scheme val="minor"/>
    </font>
    <font>
      <b/>
      <sz val="26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8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26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2" applyNumberFormat="0" applyAlignment="0" applyProtection="0"/>
    <xf numFmtId="0" fontId="15" fillId="5" borderId="2" applyNumberFormat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5" fillId="4" borderId="2" xfId="3"/>
    <xf numFmtId="0" fontId="7" fillId="0" borderId="0" xfId="0" applyFont="1"/>
    <xf numFmtId="0" fontId="9" fillId="2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2" fillId="0" borderId="0" xfId="0" applyFont="1"/>
    <xf numFmtId="0" fontId="13" fillId="4" borderId="2" xfId="3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0" fillId="2" borderId="0" xfId="2" applyFont="1" applyAlignment="1">
      <alignment horizontal="center" vertical="center"/>
    </xf>
    <xf numFmtId="0" fontId="18" fillId="2" borderId="3" xfId="2" applyFont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0" fontId="17" fillId="2" borderId="0" xfId="2" applyFont="1" applyAlignment="1">
      <alignment horizontal="center" vertical="center"/>
    </xf>
    <xf numFmtId="0" fontId="23" fillId="3" borderId="0" xfId="3" applyFont="1" applyFill="1" applyBorder="1" applyAlignment="1">
      <alignment vertical="center"/>
    </xf>
    <xf numFmtId="0" fontId="18" fillId="2" borderId="0" xfId="2" applyFont="1" applyBorder="1" applyAlignment="1">
      <alignment vertical="center"/>
    </xf>
    <xf numFmtId="0" fontId="19" fillId="2" borderId="0" xfId="2" applyFont="1" applyAlignment="1">
      <alignment vertical="center"/>
    </xf>
    <xf numFmtId="0" fontId="20" fillId="2" borderId="0" xfId="2" applyFont="1" applyAlignment="1">
      <alignment horizontal="center" vertical="center" wrapText="1"/>
    </xf>
    <xf numFmtId="0" fontId="19" fillId="2" borderId="0" xfId="2" applyFont="1" applyAlignment="1">
      <alignment horizontal="center" vertical="center" wrapText="1"/>
    </xf>
    <xf numFmtId="0" fontId="24" fillId="3" borderId="0" xfId="2" applyFont="1" applyFill="1" applyAlignment="1">
      <alignment horizontal="center" vertical="center"/>
    </xf>
    <xf numFmtId="0" fontId="23" fillId="4" borderId="0" xfId="3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8" fillId="2" borderId="0" xfId="2" applyFont="1" applyAlignment="1">
      <alignment horizontal="center" wrapText="1"/>
    </xf>
    <xf numFmtId="0" fontId="25" fillId="0" borderId="0" xfId="0" applyFont="1" applyAlignment="1">
      <alignment wrapText="1"/>
    </xf>
    <xf numFmtId="0" fontId="18" fillId="2" borderId="0" xfId="2" applyFont="1" applyAlignment="1">
      <alignment horizontal="center" vertical="center" wrapText="1"/>
    </xf>
    <xf numFmtId="0" fontId="11" fillId="3" borderId="0" xfId="2" applyFont="1" applyFill="1" applyAlignment="1">
      <alignment vertical="center"/>
    </xf>
    <xf numFmtId="0" fontId="26" fillId="4" borderId="0" xfId="3" applyFont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3" fillId="0" borderId="0" xfId="1" applyAlignment="1"/>
    <xf numFmtId="0" fontId="28" fillId="3" borderId="0" xfId="0" applyFont="1" applyFill="1"/>
    <xf numFmtId="0" fontId="17" fillId="3" borderId="0" xfId="2" applyFont="1" applyFill="1" applyAlignment="1">
      <alignment horizontal="center" vertical="center"/>
    </xf>
    <xf numFmtId="0" fontId="21" fillId="4" borderId="0" xfId="3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0" xfId="2" applyFont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7" xfId="3" applyFont="1" applyBorder="1" applyAlignment="1">
      <alignment horizontal="center" vertical="center"/>
    </xf>
    <xf numFmtId="0" fontId="21" fillId="4" borderId="8" xfId="3" applyFont="1" applyBorder="1" applyAlignment="1">
      <alignment horizontal="center" vertical="center"/>
    </xf>
    <xf numFmtId="0" fontId="23" fillId="4" borderId="6" xfId="3" applyFont="1" applyBorder="1" applyAlignment="1">
      <alignment horizontal="center" vertical="center"/>
    </xf>
    <xf numFmtId="0" fontId="23" fillId="4" borderId="7" xfId="3" applyFont="1" applyBorder="1" applyAlignment="1">
      <alignment horizontal="center" vertical="center"/>
    </xf>
    <xf numFmtId="0" fontId="23" fillId="4" borderId="8" xfId="3" applyFont="1" applyBorder="1" applyAlignment="1">
      <alignment horizontal="center" vertical="center"/>
    </xf>
    <xf numFmtId="0" fontId="13" fillId="4" borderId="2" xfId="3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5" borderId="2" xfId="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5" borderId="6" xfId="4" applyFont="1" applyBorder="1" applyAlignment="1">
      <alignment horizontal="center" vertical="center"/>
    </xf>
    <xf numFmtId="0" fontId="16" fillId="5" borderId="7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3" fillId="4" borderId="0" xfId="3" applyFont="1" applyBorder="1" applyAlignment="1">
      <alignment horizontal="center" vertical="center"/>
    </xf>
    <xf numFmtId="0" fontId="14" fillId="4" borderId="2" xfId="3" applyFont="1" applyAlignment="1">
      <alignment horizontal="center" vertical="center"/>
    </xf>
    <xf numFmtId="0" fontId="8" fillId="2" borderId="4" xfId="2" applyFont="1" applyBorder="1" applyAlignment="1">
      <alignment horizontal="center" vertical="center" wrapText="1"/>
    </xf>
    <xf numFmtId="0" fontId="8" fillId="2" borderId="0" xfId="2" applyFont="1" applyBorder="1" applyAlignment="1">
      <alignment horizontal="center" vertical="center" wrapText="1"/>
    </xf>
    <xf numFmtId="0" fontId="29" fillId="2" borderId="0" xfId="2" applyFont="1" applyAlignment="1">
      <alignment horizontal="center" vertic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/>
    </xf>
    <xf numFmtId="0" fontId="11" fillId="2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4" borderId="6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13" fillId="4" borderId="8" xfId="3" applyFont="1" applyBorder="1" applyAlignment="1">
      <alignment horizontal="center" vertical="center"/>
    </xf>
    <xf numFmtId="0" fontId="23" fillId="4" borderId="9" xfId="3" applyFont="1" applyBorder="1" applyAlignment="1">
      <alignment horizontal="center" vertical="center"/>
    </xf>
    <xf numFmtId="0" fontId="23" fillId="4" borderId="0" xfId="3" applyFont="1" applyBorder="1" applyAlignment="1">
      <alignment horizontal="center" vertical="center"/>
    </xf>
    <xf numFmtId="0" fontId="20" fillId="2" borderId="0" xfId="2" applyFont="1" applyAlignment="1">
      <alignment horizontal="center" vertical="center"/>
    </xf>
    <xf numFmtId="0" fontId="22" fillId="4" borderId="6" xfId="3" applyFont="1" applyBorder="1" applyAlignment="1">
      <alignment horizontal="center" vertical="center" wrapText="1"/>
    </xf>
    <xf numFmtId="0" fontId="22" fillId="4" borderId="7" xfId="3" applyFont="1" applyBorder="1" applyAlignment="1">
      <alignment horizontal="center" vertical="center" wrapText="1"/>
    </xf>
    <xf numFmtId="0" fontId="22" fillId="4" borderId="8" xfId="3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22" fillId="4" borderId="2" xfId="3" applyFont="1" applyAlignment="1">
      <alignment horizontal="center" vertical="center" wrapText="1"/>
    </xf>
    <xf numFmtId="0" fontId="22" fillId="4" borderId="6" xfId="3" applyFont="1" applyBorder="1" applyAlignment="1">
      <alignment horizontal="center"/>
    </xf>
    <xf numFmtId="0" fontId="22" fillId="4" borderId="8" xfId="3" applyFont="1" applyBorder="1" applyAlignment="1">
      <alignment horizontal="center"/>
    </xf>
    <xf numFmtId="0" fontId="19" fillId="2" borderId="0" xfId="2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6" fillId="4" borderId="6" xfId="3" applyFont="1" applyBorder="1" applyAlignment="1">
      <alignment horizontal="center" vertical="center"/>
    </xf>
    <xf numFmtId="0" fontId="26" fillId="4" borderId="7" xfId="3" applyFont="1" applyBorder="1" applyAlignment="1">
      <alignment horizontal="center" vertical="center"/>
    </xf>
    <xf numFmtId="0" fontId="26" fillId="4" borderId="8" xfId="3" applyFont="1" applyBorder="1" applyAlignment="1">
      <alignment horizontal="center" vertical="center"/>
    </xf>
    <xf numFmtId="0" fontId="0" fillId="0" borderId="0" xfId="0"/>
    <xf numFmtId="0" fontId="21" fillId="4" borderId="0" xfId="3" applyFont="1" applyBorder="1" applyAlignment="1">
      <alignment horizontal="center" vertical="center"/>
    </xf>
    <xf numFmtId="0" fontId="17" fillId="2" borderId="0" xfId="2" applyFont="1" applyAlignment="1">
      <alignment horizontal="center" vertical="center"/>
    </xf>
    <xf numFmtId="0" fontId="18" fillId="2" borderId="0" xfId="2" applyFont="1" applyAlignment="1">
      <alignment horizontal="center" vertical="center"/>
    </xf>
  </cellXfs>
  <cellStyles count="5">
    <cellStyle name="Calculation" xfId="3" builtinId="22"/>
    <cellStyle name="Hyperlink" xfId="1" builtinId="8"/>
    <cellStyle name="Input" xfId="4" builtinId="20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Demand!$A$5:$A$37</c:f>
              <c:strCache>
                <c:ptCount val="33"/>
                <c:pt idx="0">
                  <c:v>Unit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</c:strCache>
            </c:strRef>
          </c:xVal>
          <c:yVal>
            <c:numRef>
              <c:f>Demand!$X$5:$X$37</c:f>
              <c:numCache>
                <c:formatCode>General</c:formatCode>
                <c:ptCount val="33"/>
                <c:pt idx="0">
                  <c:v>0</c:v>
                </c:pt>
                <c:pt idx="5">
                  <c:v>0.84911701490312685</c:v>
                </c:pt>
                <c:pt idx="6">
                  <c:v>0.85169257579230417</c:v>
                </c:pt>
                <c:pt idx="7">
                  <c:v>0.85408600874590468</c:v>
                </c:pt>
                <c:pt idx="8">
                  <c:v>0.86044594698814181</c:v>
                </c:pt>
                <c:pt idx="9">
                  <c:v>0.86149662012550465</c:v>
                </c:pt>
                <c:pt idx="10">
                  <c:v>0.86638442820396988</c:v>
                </c:pt>
                <c:pt idx="11">
                  <c:v>0.86775823096212468</c:v>
                </c:pt>
                <c:pt idx="12">
                  <c:v>0.87084937518218264</c:v>
                </c:pt>
                <c:pt idx="13">
                  <c:v>0.87350939070762024</c:v>
                </c:pt>
                <c:pt idx="14">
                  <c:v>0.87524696284221404</c:v>
                </c:pt>
                <c:pt idx="15">
                  <c:v>0.87450533315527357</c:v>
                </c:pt>
                <c:pt idx="16">
                  <c:v>0.87396610377100603</c:v>
                </c:pt>
                <c:pt idx="17">
                  <c:v>0.87837071225467545</c:v>
                </c:pt>
                <c:pt idx="18">
                  <c:v>0.87777085672924249</c:v>
                </c:pt>
                <c:pt idx="19">
                  <c:v>0.87227919938698206</c:v>
                </c:pt>
                <c:pt idx="20">
                  <c:v>0.86749158591779407</c:v>
                </c:pt>
                <c:pt idx="21">
                  <c:v>0.86214213020117636</c:v>
                </c:pt>
                <c:pt idx="22">
                  <c:v>0.8548389774541334</c:v>
                </c:pt>
                <c:pt idx="23">
                  <c:v>0.84863752368059042</c:v>
                </c:pt>
                <c:pt idx="24">
                  <c:v>0.84230897863814325</c:v>
                </c:pt>
                <c:pt idx="25">
                  <c:v>0.83588715764894694</c:v>
                </c:pt>
                <c:pt idx="26">
                  <c:v>0.82960354449929297</c:v>
                </c:pt>
                <c:pt idx="27">
                  <c:v>0.82626400539410494</c:v>
                </c:pt>
                <c:pt idx="28">
                  <c:v>0.82268652723444036</c:v>
                </c:pt>
                <c:pt idx="29">
                  <c:v>0.8180887375272704</c:v>
                </c:pt>
                <c:pt idx="30">
                  <c:v>0.81321905580750309</c:v>
                </c:pt>
                <c:pt idx="31">
                  <c:v>0.84784880822904063</c:v>
                </c:pt>
                <c:pt idx="32">
                  <c:v>0.83550657856342736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E-4349-A4C8-2B9EAD18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6960"/>
        <c:axId val="1453939440"/>
      </c:scatterChart>
      <c:valAx>
        <c:axId val="14535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939440"/>
        <c:crosses val="autoZero"/>
        <c:crossBetween val="midCat"/>
      </c:valAx>
      <c:valAx>
        <c:axId val="14539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5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Bus.Act!$Z$5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Bus.Act!$Z$6:$Z$37</c:f>
              <c:numCache>
                <c:formatCode>General</c:formatCode>
                <c:ptCount val="32"/>
                <c:pt idx="0">
                  <c:v>2.2774232633279483E-2</c:v>
                </c:pt>
                <c:pt idx="1">
                  <c:v>2.3115460190206712E-2</c:v>
                </c:pt>
                <c:pt idx="2">
                  <c:v>2.3012175261729349E-2</c:v>
                </c:pt>
                <c:pt idx="3">
                  <c:v>2.284876967751796E-2</c:v>
                </c:pt>
                <c:pt idx="4">
                  <c:v>2.2359931327909238E-2</c:v>
                </c:pt>
                <c:pt idx="5">
                  <c:v>2.1982975627500911E-2</c:v>
                </c:pt>
                <c:pt idx="6">
                  <c:v>2.138277374361924E-2</c:v>
                </c:pt>
                <c:pt idx="7">
                  <c:v>2.0872347924155918E-2</c:v>
                </c:pt>
                <c:pt idx="8">
                  <c:v>2.0258238341968913E-2</c:v>
                </c:pt>
                <c:pt idx="9">
                  <c:v>1.9655389985232918E-2</c:v>
                </c:pt>
                <c:pt idx="10">
                  <c:v>1.972408556714644E-2</c:v>
                </c:pt>
                <c:pt idx="11">
                  <c:v>1.9225756896882804E-2</c:v>
                </c:pt>
                <c:pt idx="12">
                  <c:v>1.9077774292704346E-2</c:v>
                </c:pt>
                <c:pt idx="13">
                  <c:v>1.9473213381890005E-2</c:v>
                </c:pt>
                <c:pt idx="14">
                  <c:v>1.9420291457900526E-2</c:v>
                </c:pt>
                <c:pt idx="15">
                  <c:v>2.0258591481122943E-2</c:v>
                </c:pt>
                <c:pt idx="16">
                  <c:v>2.1229140194832699E-2</c:v>
                </c:pt>
                <c:pt idx="17">
                  <c:v>2.114673682937156E-2</c:v>
                </c:pt>
                <c:pt idx="18">
                  <c:v>2.1550094517958411E-2</c:v>
                </c:pt>
                <c:pt idx="19">
                  <c:v>2.2100137345486329E-2</c:v>
                </c:pt>
                <c:pt idx="20">
                  <c:v>2.2505850052798312E-2</c:v>
                </c:pt>
                <c:pt idx="21">
                  <c:v>2.3062572136222911E-2</c:v>
                </c:pt>
                <c:pt idx="22">
                  <c:v>2.3647458432304039E-2</c:v>
                </c:pt>
                <c:pt idx="23">
                  <c:v>2.5478571146505202E-2</c:v>
                </c:pt>
                <c:pt idx="24">
                  <c:v>2.6690255143475904E-2</c:v>
                </c:pt>
                <c:pt idx="25">
                  <c:v>2.759155187743656E-2</c:v>
                </c:pt>
                <c:pt idx="26">
                  <c:v>2.8663916021029325E-2</c:v>
                </c:pt>
                <c:pt idx="27">
                  <c:v>2.9232763333099727E-2</c:v>
                </c:pt>
                <c:pt idx="28">
                  <c:v>3.0571054426602247E-2</c:v>
                </c:pt>
                <c:pt idx="29">
                  <c:v>3.1849458525345625E-2</c:v>
                </c:pt>
                <c:pt idx="30">
                  <c:v>3.3656111771700359E-2</c:v>
                </c:pt>
                <c:pt idx="31">
                  <c:v>3.5499580403002766E-2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584A-AD01-4EC3B5F0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3280"/>
        <c:axId val="1934953232"/>
      </c:scatterChart>
      <c:valAx>
        <c:axId val="18981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4953232"/>
        <c:crosses val="autoZero"/>
        <c:crossBetween val="midCat"/>
      </c:valAx>
      <c:valAx>
        <c:axId val="1934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81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'2W.Act'!$X$5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'2W.Act'!$X$6:$X$37</c:f>
              <c:numCache>
                <c:formatCode>General</c:formatCode>
                <c:ptCount val="32"/>
                <c:pt idx="0">
                  <c:v>2.1528471528471531E-2</c:v>
                </c:pt>
                <c:pt idx="1">
                  <c:v>1.8178618123302823E-2</c:v>
                </c:pt>
                <c:pt idx="2">
                  <c:v>1.5324788292782766E-2</c:v>
                </c:pt>
                <c:pt idx="3">
                  <c:v>1.2981681974447124E-2</c:v>
                </c:pt>
                <c:pt idx="4">
                  <c:v>9.8848134017371619E-3</c:v>
                </c:pt>
                <c:pt idx="5">
                  <c:v>9.2978054832094665E-3</c:v>
                </c:pt>
                <c:pt idx="6">
                  <c:v>1.0111528246647773E-2</c:v>
                </c:pt>
                <c:pt idx="7">
                  <c:v>8.0061577763266591E-3</c:v>
                </c:pt>
                <c:pt idx="8">
                  <c:v>5.810699527525596E-3</c:v>
                </c:pt>
                <c:pt idx="9">
                  <c:v>4.1620855056451892E-3</c:v>
                </c:pt>
                <c:pt idx="10">
                  <c:v>2.9750429066591234E-3</c:v>
                </c:pt>
                <c:pt idx="11">
                  <c:v>2.1850399859699604E-3</c:v>
                </c:pt>
                <c:pt idx="12">
                  <c:v>1.7242726602603926E-3</c:v>
                </c:pt>
                <c:pt idx="13">
                  <c:v>1.5858835693199774E-3</c:v>
                </c:pt>
                <c:pt idx="14">
                  <c:v>1.6533162644667301E-3</c:v>
                </c:pt>
                <c:pt idx="15">
                  <c:v>1.6565950528086889E-3</c:v>
                </c:pt>
                <c:pt idx="16">
                  <c:v>1.762658235034088E-3</c:v>
                </c:pt>
                <c:pt idx="17">
                  <c:v>1.9000335332581466E-3</c:v>
                </c:pt>
                <c:pt idx="18">
                  <c:v>2.0104844750046965E-3</c:v>
                </c:pt>
                <c:pt idx="19">
                  <c:v>2.2496110461546729E-3</c:v>
                </c:pt>
                <c:pt idx="20">
                  <c:v>2.5385741358991982E-3</c:v>
                </c:pt>
                <c:pt idx="21">
                  <c:v>2.7873846795727635E-3</c:v>
                </c:pt>
                <c:pt idx="22">
                  <c:v>3.1062299926240084E-3</c:v>
                </c:pt>
                <c:pt idx="23">
                  <c:v>3.5049235553929387E-3</c:v>
                </c:pt>
                <c:pt idx="24">
                  <c:v>4.0940723925283759E-3</c:v>
                </c:pt>
                <c:pt idx="25">
                  <c:v>4.9795680289885366E-3</c:v>
                </c:pt>
                <c:pt idx="26">
                  <c:v>6.1770907290800373E-3</c:v>
                </c:pt>
                <c:pt idx="27">
                  <c:v>7.3321803056911744E-3</c:v>
                </c:pt>
                <c:pt idx="28">
                  <c:v>8.5208679165929592E-3</c:v>
                </c:pt>
                <c:pt idx="29">
                  <c:v>9.741602528237369E-3</c:v>
                </c:pt>
                <c:pt idx="30">
                  <c:v>1.1012282506520371E-2</c:v>
                </c:pt>
                <c:pt idx="31">
                  <c:v>1.1552756604190421E-2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EE4F-B9E8-4774C377F7FE}"/>
            </c:ext>
          </c:extLst>
        </c:ser>
        <c:ser>
          <c:idx val="1"/>
          <c:order val="1"/>
          <c:tx>
            <c:strRef>
              <c:f>'2W.Act'!$Y$5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'2W.Act'!$Y$6:$Y$37</c:f>
              <c:numCache>
                <c:formatCode>General</c:formatCode>
                <c:ptCount val="32"/>
                <c:pt idx="0">
                  <c:v>6.8108404118083698E-3</c:v>
                </c:pt>
                <c:pt idx="1">
                  <c:v>6.1308765510134739E-3</c:v>
                </c:pt>
                <c:pt idx="2">
                  <c:v>5.5871776507180745E-3</c:v>
                </c:pt>
                <c:pt idx="3">
                  <c:v>5.1879186650148831E-3</c:v>
                </c:pt>
                <c:pt idx="4">
                  <c:v>4.4142453446391304E-3</c:v>
                </c:pt>
                <c:pt idx="5">
                  <c:v>4.2533575175401489E-3</c:v>
                </c:pt>
                <c:pt idx="6">
                  <c:v>4.1118832295155405E-3</c:v>
                </c:pt>
                <c:pt idx="7">
                  <c:v>3.9385185103206462E-3</c:v>
                </c:pt>
                <c:pt idx="8">
                  <c:v>3.7982081688801954E-3</c:v>
                </c:pt>
                <c:pt idx="9">
                  <c:v>3.6487619428362452E-3</c:v>
                </c:pt>
                <c:pt idx="10">
                  <c:v>3.4928690117442653E-3</c:v>
                </c:pt>
                <c:pt idx="11">
                  <c:v>3.377285606764608E-3</c:v>
                </c:pt>
                <c:pt idx="12">
                  <c:v>3.2910865347765936E-3</c:v>
                </c:pt>
                <c:pt idx="13">
                  <c:v>3.2099333838089966E-3</c:v>
                </c:pt>
                <c:pt idx="14">
                  <c:v>3.1464755372907719E-3</c:v>
                </c:pt>
                <c:pt idx="15">
                  <c:v>3.0871175511804467E-3</c:v>
                </c:pt>
                <c:pt idx="16">
                  <c:v>3.049204165659564E-3</c:v>
                </c:pt>
                <c:pt idx="17">
                  <c:v>3.0167541671686274E-3</c:v>
                </c:pt>
                <c:pt idx="18">
                  <c:v>2.9843701644371918E-3</c:v>
                </c:pt>
                <c:pt idx="19">
                  <c:v>2.9550926339066241E-3</c:v>
                </c:pt>
                <c:pt idx="20">
                  <c:v>2.9286229090881776E-3</c:v>
                </c:pt>
                <c:pt idx="21">
                  <c:v>2.9067648201584898E-3</c:v>
                </c:pt>
                <c:pt idx="22">
                  <c:v>2.8869765428941574E-3</c:v>
                </c:pt>
                <c:pt idx="23">
                  <c:v>2.8656127172714888E-3</c:v>
                </c:pt>
                <c:pt idx="24">
                  <c:v>2.8475367512367272E-3</c:v>
                </c:pt>
                <c:pt idx="25">
                  <c:v>2.8330122428494482E-3</c:v>
                </c:pt>
                <c:pt idx="26">
                  <c:v>2.8516980527273621E-3</c:v>
                </c:pt>
                <c:pt idx="27">
                  <c:v>2.8648497682534774E-3</c:v>
                </c:pt>
                <c:pt idx="28">
                  <c:v>2.8740882326036953E-3</c:v>
                </c:pt>
                <c:pt idx="29">
                  <c:v>2.8782685631347673E-3</c:v>
                </c:pt>
                <c:pt idx="30">
                  <c:v>2.8849206491990331E-3</c:v>
                </c:pt>
                <c:pt idx="31">
                  <c:v>2.8776338595797148E-3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EE4F-B9E8-4774C377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120"/>
        <c:axId val="1832554735"/>
      </c:scatterChart>
      <c:valAx>
        <c:axId val="143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2554735"/>
        <c:crosses val="autoZero"/>
        <c:crossBetween val="midCat"/>
      </c:valAx>
      <c:valAx>
        <c:axId val="18325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8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PrivateCars.Cap!$BJ$4</c:f>
              <c:strCache>
                <c:ptCount val="1"/>
                <c:pt idx="0">
                  <c:v>HEVG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814852062215008"/>
                  <c:y val="-5.934910989387196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PrivateCars.Cap!$BJ$6:$BJ$38</c:f>
              <c:numCache>
                <c:formatCode>General</c:formatCode>
                <c:ptCount val="33"/>
                <c:pt idx="15">
                  <c:v>453</c:v>
                </c:pt>
                <c:pt idx="16">
                  <c:v>1899</c:v>
                </c:pt>
                <c:pt idx="17">
                  <c:v>4889</c:v>
                </c:pt>
                <c:pt idx="18">
                  <c:v>10097</c:v>
                </c:pt>
                <c:pt idx="19">
                  <c:v>13121</c:v>
                </c:pt>
                <c:pt idx="20">
                  <c:v>17138</c:v>
                </c:pt>
                <c:pt idx="21">
                  <c:v>21998</c:v>
                </c:pt>
                <c:pt idx="22">
                  <c:v>27290</c:v>
                </c:pt>
                <c:pt idx="23">
                  <c:v>33056</c:v>
                </c:pt>
                <c:pt idx="24">
                  <c:v>38357</c:v>
                </c:pt>
                <c:pt idx="25">
                  <c:v>43396</c:v>
                </c:pt>
                <c:pt idx="26">
                  <c:v>49307</c:v>
                </c:pt>
                <c:pt idx="27">
                  <c:v>56638</c:v>
                </c:pt>
                <c:pt idx="28">
                  <c:v>64710</c:v>
                </c:pt>
                <c:pt idx="29">
                  <c:v>77576</c:v>
                </c:pt>
                <c:pt idx="30">
                  <c:v>98892</c:v>
                </c:pt>
                <c:pt idx="31">
                  <c:v>140926</c:v>
                </c:pt>
                <c:pt idx="32">
                  <c:v>189550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8-6842-90CE-14C90DE14903}"/>
            </c:ext>
          </c:extLst>
        </c:ser>
        <c:ser>
          <c:idx val="1"/>
          <c:order val="1"/>
          <c:tx>
            <c:strRef>
              <c:f>PrivateCars.Cap!$BL$4</c:f>
              <c:strCache>
                <c:ptCount val="1"/>
                <c:pt idx="0">
                  <c:v>ICENG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3550746831537203"/>
                  <c:y val="9.397595001711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PrivateCars.Cap!$BL$6:$BL$38</c:f>
              <c:numCache>
                <c:formatCode>General</c:formatCode>
                <c:ptCount val="33"/>
                <c:pt idx="15">
                  <c:v>1187</c:v>
                </c:pt>
                <c:pt idx="16">
                  <c:v>2009</c:v>
                </c:pt>
                <c:pt idx="17">
                  <c:v>3543</c:v>
                </c:pt>
                <c:pt idx="18">
                  <c:v>4839</c:v>
                </c:pt>
                <c:pt idx="19">
                  <c:v>5926</c:v>
                </c:pt>
                <c:pt idx="20">
                  <c:v>6652</c:v>
                </c:pt>
                <c:pt idx="21">
                  <c:v>7349</c:v>
                </c:pt>
                <c:pt idx="22">
                  <c:v>7742</c:v>
                </c:pt>
                <c:pt idx="23">
                  <c:v>8457</c:v>
                </c:pt>
                <c:pt idx="24">
                  <c:v>9174</c:v>
                </c:pt>
                <c:pt idx="25">
                  <c:v>9878</c:v>
                </c:pt>
                <c:pt idx="26">
                  <c:v>10331</c:v>
                </c:pt>
                <c:pt idx="27">
                  <c:v>10673</c:v>
                </c:pt>
                <c:pt idx="28">
                  <c:v>11038</c:v>
                </c:pt>
                <c:pt idx="29">
                  <c:v>11207</c:v>
                </c:pt>
                <c:pt idx="30">
                  <c:v>11413</c:v>
                </c:pt>
                <c:pt idx="31">
                  <c:v>10971</c:v>
                </c:pt>
                <c:pt idx="32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8-6842-90CE-14C90DE14903}"/>
            </c:ext>
          </c:extLst>
        </c:ser>
        <c:ser>
          <c:idx val="2"/>
          <c:order val="2"/>
          <c:tx>
            <c:strRef>
              <c:f>PrivateCars.Cap!$AX$4</c:f>
              <c:strCache>
                <c:ptCount val="1"/>
                <c:pt idx="0">
                  <c:v>Diesel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PrivateCars.Cap!$AX$6:$AX$20</c:f>
              <c:numCache>
                <c:formatCode>General</c:formatCode>
                <c:ptCount val="15"/>
                <c:pt idx="0">
                  <c:v>79129</c:v>
                </c:pt>
                <c:pt idx="1">
                  <c:v>81883</c:v>
                </c:pt>
                <c:pt idx="2">
                  <c:v>83640</c:v>
                </c:pt>
                <c:pt idx="3">
                  <c:v>85703</c:v>
                </c:pt>
                <c:pt idx="4">
                  <c:v>90747</c:v>
                </c:pt>
                <c:pt idx="5">
                  <c:v>95585</c:v>
                </c:pt>
                <c:pt idx="6">
                  <c:v>100412</c:v>
                </c:pt>
                <c:pt idx="7">
                  <c:v>105718</c:v>
                </c:pt>
                <c:pt idx="8">
                  <c:v>112736</c:v>
                </c:pt>
                <c:pt idx="9">
                  <c:v>123969</c:v>
                </c:pt>
                <c:pt idx="10">
                  <c:v>141863</c:v>
                </c:pt>
                <c:pt idx="11">
                  <c:v>172097</c:v>
                </c:pt>
                <c:pt idx="12">
                  <c:v>213184</c:v>
                </c:pt>
                <c:pt idx="13">
                  <c:v>261987</c:v>
                </c:pt>
                <c:pt idx="14">
                  <c:v>319905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C34D-8848-1DF9630B9B06}"/>
            </c:ext>
          </c:extLst>
        </c:ser>
        <c:ser>
          <c:idx val="3"/>
          <c:order val="3"/>
          <c:tx>
            <c:strRef>
              <c:f>PrivateCars.Cap!$BA$4</c:f>
              <c:strCache>
                <c:ptCount val="1"/>
                <c:pt idx="0">
                  <c:v>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7274722009531"/>
                  <c:y val="-4.3732882574460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PrivateCars.Cap!$BA$6:$BA$20</c:f>
              <c:numCache>
                <c:formatCode>General</c:formatCode>
                <c:ptCount val="15"/>
                <c:pt idx="0">
                  <c:v>2905762</c:v>
                </c:pt>
                <c:pt idx="1">
                  <c:v>2975154</c:v>
                </c:pt>
                <c:pt idx="2">
                  <c:v>3006666</c:v>
                </c:pt>
                <c:pt idx="3">
                  <c:v>3022762</c:v>
                </c:pt>
                <c:pt idx="4">
                  <c:v>3073062</c:v>
                </c:pt>
                <c:pt idx="5">
                  <c:v>3132238</c:v>
                </c:pt>
                <c:pt idx="6">
                  <c:v>3166299</c:v>
                </c:pt>
                <c:pt idx="7">
                  <c:v>3216484</c:v>
                </c:pt>
                <c:pt idx="8">
                  <c:v>3269402</c:v>
                </c:pt>
                <c:pt idx="9">
                  <c:v>3342265</c:v>
                </c:pt>
                <c:pt idx="10">
                  <c:v>3402309</c:v>
                </c:pt>
                <c:pt idx="11">
                  <c:v>3456468</c:v>
                </c:pt>
                <c:pt idx="12">
                  <c:v>3486757</c:v>
                </c:pt>
                <c:pt idx="13">
                  <c:v>3490699</c:v>
                </c:pt>
                <c:pt idx="14">
                  <c:v>3489925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C34D-8848-1DF9630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62719"/>
        <c:axId val="1751114975"/>
      </c:scatterChart>
      <c:valAx>
        <c:axId val="1751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114975"/>
        <c:crosses val="autoZero"/>
        <c:crossBetween val="midCat"/>
      </c:valAx>
      <c:valAx>
        <c:axId val="1751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7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PrivateCars.Cap!$BR$21:$BR$31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F042-A45E-5CEAFF7CC6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PrivateCars.Cap!$BS$21:$BS$31</c:f>
              <c:numCache>
                <c:formatCode>General</c:formatCode>
                <c:ptCount val="11"/>
                <c:pt idx="0">
                  <c:v>389</c:v>
                </c:pt>
                <c:pt idx="1">
                  <c:v>441</c:v>
                </c:pt>
                <c:pt idx="2">
                  <c:v>1692</c:v>
                </c:pt>
                <c:pt idx="3">
                  <c:v>1201</c:v>
                </c:pt>
                <c:pt idx="4">
                  <c:v>529</c:v>
                </c:pt>
                <c:pt idx="5">
                  <c:v>302</c:v>
                </c:pt>
                <c:pt idx="6">
                  <c:v>526</c:v>
                </c:pt>
                <c:pt idx="7">
                  <c:v>406</c:v>
                </c:pt>
                <c:pt idx="8">
                  <c:v>87</c:v>
                </c:pt>
                <c:pt idx="9">
                  <c:v>22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F042-A45E-5CEAFF7CC6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62227710752833E-2"/>
                  <c:y val="0.22238777662940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5112.2x - 1E+07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0.8012</a:t>
                    </a:r>
                    <a:endParaRPr lang="en-US" sz="1600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PrivateCars.Cap!$BT$21:$BT$35</c:f>
              <c:numCache>
                <c:formatCode>General</c:formatCode>
                <c:ptCount val="15"/>
                <c:pt idx="0">
                  <c:v>74114</c:v>
                </c:pt>
                <c:pt idx="1">
                  <c:v>80857</c:v>
                </c:pt>
                <c:pt idx="2">
                  <c:v>92333</c:v>
                </c:pt>
                <c:pt idx="3">
                  <c:v>93366</c:v>
                </c:pt>
                <c:pt idx="4">
                  <c:v>78755</c:v>
                </c:pt>
                <c:pt idx="5">
                  <c:v>90547</c:v>
                </c:pt>
                <c:pt idx="6">
                  <c:v>109324</c:v>
                </c:pt>
                <c:pt idx="7">
                  <c:v>124911</c:v>
                </c:pt>
                <c:pt idx="8">
                  <c:v>115656</c:v>
                </c:pt>
                <c:pt idx="9">
                  <c:v>113304</c:v>
                </c:pt>
                <c:pt idx="10">
                  <c:v>127899</c:v>
                </c:pt>
                <c:pt idx="11">
                  <c:v>125595</c:v>
                </c:pt>
                <c:pt idx="12">
                  <c:v>113848</c:v>
                </c:pt>
                <c:pt idx="13">
                  <c:v>90360</c:v>
                </c:pt>
                <c:pt idx="14">
                  <c:v>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2-F042-A45E-5CEAFF7CC6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PrivateCars.Cap!$BU$21:$BU$31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956</c:v>
                </c:pt>
                <c:pt idx="8">
                  <c:v>684</c:v>
                </c:pt>
                <c:pt idx="9">
                  <c:v>516</c:v>
                </c:pt>
                <c:pt idx="10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F042-A45E-5CEAFF7CC68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PrivateCars.Cap!$BV$21:$BV$31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281</c:v>
                </c:pt>
                <c:pt idx="9">
                  <c:v>212</c:v>
                </c:pt>
                <c:pt idx="1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2-F042-A45E-5CEAFF7CC68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25138241779337E-2"/>
                  <c:y val="9.644699689940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PrivateCars.Cap!$BW$21:$BW$31</c:f>
              <c:numCache>
                <c:formatCode>General</c:formatCode>
                <c:ptCount val="11"/>
                <c:pt idx="0">
                  <c:v>185120</c:v>
                </c:pt>
                <c:pt idx="1">
                  <c:v>185807</c:v>
                </c:pt>
                <c:pt idx="2">
                  <c:v>185055</c:v>
                </c:pt>
                <c:pt idx="3">
                  <c:v>189151</c:v>
                </c:pt>
                <c:pt idx="4">
                  <c:v>182174</c:v>
                </c:pt>
                <c:pt idx="5">
                  <c:v>200576</c:v>
                </c:pt>
                <c:pt idx="6">
                  <c:v>211540</c:v>
                </c:pt>
                <c:pt idx="7">
                  <c:v>200576</c:v>
                </c:pt>
                <c:pt idx="8">
                  <c:v>185070</c:v>
                </c:pt>
                <c:pt idx="9">
                  <c:v>180875</c:v>
                </c:pt>
                <c:pt idx="10">
                  <c:v>185469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2-F042-A45E-5CEAFF7CC68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PrivateCars.Cap!$BX$21:$BX$31</c:f>
              <c:numCache>
                <c:formatCode>General</c:formatCode>
                <c:ptCount val="11"/>
                <c:pt idx="0">
                  <c:v>604</c:v>
                </c:pt>
                <c:pt idx="1">
                  <c:v>1569</c:v>
                </c:pt>
                <c:pt idx="2">
                  <c:v>3219</c:v>
                </c:pt>
                <c:pt idx="3">
                  <c:v>3064</c:v>
                </c:pt>
                <c:pt idx="4">
                  <c:v>3875</c:v>
                </c:pt>
                <c:pt idx="5">
                  <c:v>4213</c:v>
                </c:pt>
                <c:pt idx="6">
                  <c:v>5325</c:v>
                </c:pt>
                <c:pt idx="7">
                  <c:v>5530</c:v>
                </c:pt>
                <c:pt idx="8">
                  <c:v>5966</c:v>
                </c:pt>
                <c:pt idx="9">
                  <c:v>5569</c:v>
                </c:pt>
                <c:pt idx="10">
                  <c:v>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2-F042-A45E-5CEAFF7CC68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PrivateCars.Cap!$BY$21:$BY$31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  <c:pt idx="4">
                  <c:v>24</c:v>
                </c:pt>
                <c:pt idx="5">
                  <c:v>33</c:v>
                </c:pt>
                <c:pt idx="6">
                  <c:v>119</c:v>
                </c:pt>
                <c:pt idx="7">
                  <c:v>191</c:v>
                </c:pt>
                <c:pt idx="8">
                  <c:v>227</c:v>
                </c:pt>
                <c:pt idx="9">
                  <c:v>596</c:v>
                </c:pt>
                <c:pt idx="10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2-F042-A45E-5CEAFF7CC68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PrivateCars.Cap!$BZ$21:$BZ$31</c:f>
              <c:numCache>
                <c:formatCode>General</c:formatCode>
                <c:ptCount val="11"/>
                <c:pt idx="0">
                  <c:v>442</c:v>
                </c:pt>
                <c:pt idx="1">
                  <c:v>1064</c:v>
                </c:pt>
                <c:pt idx="2">
                  <c:v>1653</c:v>
                </c:pt>
                <c:pt idx="3">
                  <c:v>1136</c:v>
                </c:pt>
                <c:pt idx="4">
                  <c:v>1063</c:v>
                </c:pt>
                <c:pt idx="5">
                  <c:v>721</c:v>
                </c:pt>
                <c:pt idx="6">
                  <c:v>651</c:v>
                </c:pt>
                <c:pt idx="7">
                  <c:v>519</c:v>
                </c:pt>
                <c:pt idx="8">
                  <c:v>791</c:v>
                </c:pt>
                <c:pt idx="9">
                  <c:v>1041</c:v>
                </c:pt>
                <c:pt idx="10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2-F042-A45E-5CEAFF7CC68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PrivateCars.Cap!$CA$21:$CA$31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A2-F042-A45E-5CEAFF7C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5823"/>
        <c:axId val="1535860063"/>
      </c:scatterChart>
      <c:valAx>
        <c:axId val="18546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5860063"/>
        <c:crosses val="autoZero"/>
        <c:crossBetween val="midCat"/>
      </c:valAx>
      <c:valAx>
        <c:axId val="15358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46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5026246719159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PrivateCars.Act!$X$6:$X$37</c:f>
              <c:numCache>
                <c:formatCode>General</c:formatCode>
                <c:ptCount val="32"/>
                <c:pt idx="4">
                  <c:v>0.86667727700548736</c:v>
                </c:pt>
                <c:pt idx="5">
                  <c:v>0.88103833198549364</c:v>
                </c:pt>
                <c:pt idx="6">
                  <c:v>0.89508877315540414</c:v>
                </c:pt>
                <c:pt idx="7">
                  <c:v>0.89735742168988031</c:v>
                </c:pt>
                <c:pt idx="8">
                  <c:v>0.89556337862370916</c:v>
                </c:pt>
                <c:pt idx="9">
                  <c:v>0.89672441895763633</c:v>
                </c:pt>
                <c:pt idx="10">
                  <c:v>0.89505000979141447</c:v>
                </c:pt>
                <c:pt idx="11">
                  <c:v>0.89455092189011542</c:v>
                </c:pt>
                <c:pt idx="12">
                  <c:v>0.89735967320041343</c:v>
                </c:pt>
                <c:pt idx="13">
                  <c:v>0.89938307759230374</c:v>
                </c:pt>
                <c:pt idx="14">
                  <c:v>0.899370379981976</c:v>
                </c:pt>
                <c:pt idx="15">
                  <c:v>0.89960417094664702</c:v>
                </c:pt>
                <c:pt idx="16">
                  <c:v>0.90341487302416623</c:v>
                </c:pt>
                <c:pt idx="17">
                  <c:v>0.90305422763393017</c:v>
                </c:pt>
                <c:pt idx="18">
                  <c:v>0.89786269658814877</c:v>
                </c:pt>
                <c:pt idx="19">
                  <c:v>0.89312717735666336</c:v>
                </c:pt>
                <c:pt idx="20">
                  <c:v>0.88780971685572663</c:v>
                </c:pt>
                <c:pt idx="21">
                  <c:v>0.88185123086973927</c:v>
                </c:pt>
                <c:pt idx="22">
                  <c:v>0.87683648799785163</c:v>
                </c:pt>
                <c:pt idx="23">
                  <c:v>0.87179349109444437</c:v>
                </c:pt>
                <c:pt idx="24">
                  <c:v>0.86677263183643061</c:v>
                </c:pt>
                <c:pt idx="25">
                  <c:v>0.86191934989665309</c:v>
                </c:pt>
                <c:pt idx="26">
                  <c:v>0.85897316547682478</c:v>
                </c:pt>
                <c:pt idx="27">
                  <c:v>0.85584659146567388</c:v>
                </c:pt>
                <c:pt idx="28">
                  <c:v>0.85186142010787402</c:v>
                </c:pt>
                <c:pt idx="29">
                  <c:v>0.84765042834441862</c:v>
                </c:pt>
                <c:pt idx="30">
                  <c:v>0.87589650007717001</c:v>
                </c:pt>
                <c:pt idx="31">
                  <c:v>0.86582944847780252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5945-ABD0-949C461F21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8040244969374E-2"/>
                  <c:y val="-0.1034397783610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PrivateCars.Act!$Y$6:$Y$37</c:f>
              <c:numCache>
                <c:formatCode>General</c:formatCode>
                <c:ptCount val="32"/>
                <c:pt idx="4">
                  <c:v>0.13332272299451262</c:v>
                </c:pt>
                <c:pt idx="5">
                  <c:v>0.11896166801450639</c:v>
                </c:pt>
                <c:pt idx="6">
                  <c:v>0.10491122684459592</c:v>
                </c:pt>
                <c:pt idx="7">
                  <c:v>0.10264257831011968</c:v>
                </c:pt>
                <c:pt idx="8">
                  <c:v>0.10443662137629084</c:v>
                </c:pt>
                <c:pt idx="9">
                  <c:v>0.10327558104236363</c:v>
                </c:pt>
                <c:pt idx="10">
                  <c:v>0.10494999020858549</c:v>
                </c:pt>
                <c:pt idx="11">
                  <c:v>0.10544907810988456</c:v>
                </c:pt>
                <c:pt idx="12">
                  <c:v>0.10264032679958662</c:v>
                </c:pt>
                <c:pt idx="13">
                  <c:v>0.10061692240769626</c:v>
                </c:pt>
                <c:pt idx="14">
                  <c:v>0.10062962001802397</c:v>
                </c:pt>
                <c:pt idx="15">
                  <c:v>0.10039582905335298</c:v>
                </c:pt>
                <c:pt idx="16">
                  <c:v>9.6585126975833796E-2</c:v>
                </c:pt>
                <c:pt idx="17">
                  <c:v>9.6945772366069813E-2</c:v>
                </c:pt>
                <c:pt idx="18">
                  <c:v>0.10213730341185136</c:v>
                </c:pt>
                <c:pt idx="19">
                  <c:v>0.10687282264333675</c:v>
                </c:pt>
                <c:pt idx="20">
                  <c:v>0.11219028314427332</c:v>
                </c:pt>
                <c:pt idx="21">
                  <c:v>0.11814876913026075</c:v>
                </c:pt>
                <c:pt idx="22">
                  <c:v>0.12316351200214826</c:v>
                </c:pt>
                <c:pt idx="23">
                  <c:v>0.12820650890555566</c:v>
                </c:pt>
                <c:pt idx="24">
                  <c:v>0.13322736816356939</c:v>
                </c:pt>
                <c:pt idx="25">
                  <c:v>0.13808065010334691</c:v>
                </c:pt>
                <c:pt idx="26">
                  <c:v>0.14102683452317524</c:v>
                </c:pt>
                <c:pt idx="27">
                  <c:v>0.14415340853432618</c:v>
                </c:pt>
                <c:pt idx="28">
                  <c:v>0.14813857989212598</c:v>
                </c:pt>
                <c:pt idx="29">
                  <c:v>0.15234957165558141</c:v>
                </c:pt>
                <c:pt idx="30">
                  <c:v>0.12410349992283004</c:v>
                </c:pt>
                <c:pt idx="31">
                  <c:v>0.13417055152219759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9-5945-ABD0-949C461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2591"/>
        <c:axId val="830120559"/>
      </c:scatterChart>
      <c:valAx>
        <c:axId val="8433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0120559"/>
        <c:crosses val="autoZero"/>
        <c:crossBetween val="midCat"/>
      </c:valAx>
      <c:valAx>
        <c:axId val="830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33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'Rail.Cap'!$L$4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6404199475065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'Rail.Cap'!$A$6:$A$37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'Rail.Cap'!$L$6:$L$37</c:f>
              <c:numCache>
                <c:formatCode>General</c:formatCode>
                <c:ptCount val="32"/>
                <c:pt idx="0">
                  <c:v>4944</c:v>
                </c:pt>
                <c:pt idx="1">
                  <c:v>5216</c:v>
                </c:pt>
                <c:pt idx="2">
                  <c:v>5209</c:v>
                </c:pt>
                <c:pt idx="3">
                  <c:v>5216</c:v>
                </c:pt>
                <c:pt idx="4">
                  <c:v>5212</c:v>
                </c:pt>
                <c:pt idx="5">
                  <c:v>5164</c:v>
                </c:pt>
                <c:pt idx="6">
                  <c:v>5147</c:v>
                </c:pt>
                <c:pt idx="7">
                  <c:v>5157</c:v>
                </c:pt>
                <c:pt idx="20">
                  <c:v>6373</c:v>
                </c:pt>
                <c:pt idx="25">
                  <c:v>6743</c:v>
                </c:pt>
                <c:pt idx="30">
                  <c:v>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3446-A3F9-264F3718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13247"/>
        <c:axId val="1151007599"/>
      </c:scatterChart>
      <c:valAx>
        <c:axId val="1602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1007599"/>
        <c:crosses val="autoZero"/>
        <c:crossBetween val="midCat"/>
      </c:valAx>
      <c:valAx>
        <c:axId val="1151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2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'Rail.Act'!$W$5</c:f>
              <c:strCache>
                <c:ptCount val="1"/>
                <c:pt idx="0">
                  <c:v>people/seat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'Rail.Act'!$W$6:$W$37</c:f>
              <c:numCache>
                <c:formatCode>General</c:formatCode>
                <c:ptCount val="32"/>
                <c:pt idx="0">
                  <c:v>0.25444547023642278</c:v>
                </c:pt>
                <c:pt idx="1">
                  <c:v>0.28614569974765236</c:v>
                </c:pt>
                <c:pt idx="2">
                  <c:v>0.27108730451914786</c:v>
                </c:pt>
                <c:pt idx="3">
                  <c:v>0.27507398881946726</c:v>
                </c:pt>
                <c:pt idx="4">
                  <c:v>0.28705394190871369</c:v>
                </c:pt>
                <c:pt idx="5">
                  <c:v>0.24263076126359398</c:v>
                </c:pt>
                <c:pt idx="6">
                  <c:v>0.25323993754590052</c:v>
                </c:pt>
                <c:pt idx="7">
                  <c:v>0.25340630614268367</c:v>
                </c:pt>
                <c:pt idx="8">
                  <c:v>0.24686136265406308</c:v>
                </c:pt>
                <c:pt idx="9">
                  <c:v>0.25360719308639562</c:v>
                </c:pt>
                <c:pt idx="10">
                  <c:v>0.24868783176176329</c:v>
                </c:pt>
                <c:pt idx="11">
                  <c:v>0.25559288749914466</c:v>
                </c:pt>
                <c:pt idx="12">
                  <c:v>0.26527112850807083</c:v>
                </c:pt>
                <c:pt idx="13">
                  <c:v>0.27322504240553408</c:v>
                </c:pt>
                <c:pt idx="14">
                  <c:v>0.27436648648800954</c:v>
                </c:pt>
                <c:pt idx="15">
                  <c:v>0.27355831902458089</c:v>
                </c:pt>
                <c:pt idx="16">
                  <c:v>0.27754522979930452</c:v>
                </c:pt>
                <c:pt idx="17">
                  <c:v>0.28651610228195418</c:v>
                </c:pt>
                <c:pt idx="18">
                  <c:v>0.28685554576894418</c:v>
                </c:pt>
                <c:pt idx="19">
                  <c:v>0.28461271076687139</c:v>
                </c:pt>
                <c:pt idx="20">
                  <c:v>0.28989242184272657</c:v>
                </c:pt>
                <c:pt idx="21">
                  <c:v>0.29531504402480913</c:v>
                </c:pt>
                <c:pt idx="22">
                  <c:v>0.28835932423307986</c:v>
                </c:pt>
                <c:pt idx="23">
                  <c:v>0.2870952961906495</c:v>
                </c:pt>
                <c:pt idx="24">
                  <c:v>0.28924603269983234</c:v>
                </c:pt>
                <c:pt idx="25">
                  <c:v>0.29123352371131001</c:v>
                </c:pt>
                <c:pt idx="26">
                  <c:v>0.28951502204093704</c:v>
                </c:pt>
                <c:pt idx="27">
                  <c:v>0.29274239780656003</c:v>
                </c:pt>
                <c:pt idx="28">
                  <c:v>0.28892126010112684</c:v>
                </c:pt>
                <c:pt idx="29">
                  <c:v>0.29982520015645808</c:v>
                </c:pt>
                <c:pt idx="30">
                  <c:v>0.18957908540586677</c:v>
                </c:pt>
                <c:pt idx="31">
                  <c:v>0.19350386981656745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2846-A09C-774AFBC9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95216"/>
        <c:axId val="1763637744"/>
      </c:scatterChart>
      <c:valAx>
        <c:axId val="17631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637744"/>
        <c:crosses val="autoZero"/>
        <c:crossBetween val="midCat"/>
      </c:valAx>
      <c:valAx>
        <c:axId val="1763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1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MRT.Cap!$Q$4</c:f>
              <c:strCache>
                <c:ptCount val="1"/>
                <c:pt idx="0">
                  <c:v>Trams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08486439195105E-2"/>
                  <c:y val="-0.15051326917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MRT.Cap!$Q$6:$Q$37</c:f>
              <c:numCache>
                <c:formatCode>General</c:formatCode>
                <c:ptCount val="32"/>
                <c:pt idx="0">
                  <c:v>953</c:v>
                </c:pt>
                <c:pt idx="1">
                  <c:v>955</c:v>
                </c:pt>
                <c:pt idx="2">
                  <c:v>998</c:v>
                </c:pt>
                <c:pt idx="3">
                  <c:v>990</c:v>
                </c:pt>
                <c:pt idx="4">
                  <c:v>926</c:v>
                </c:pt>
                <c:pt idx="5">
                  <c:v>887</c:v>
                </c:pt>
                <c:pt idx="6">
                  <c:v>874</c:v>
                </c:pt>
                <c:pt idx="7">
                  <c:v>869</c:v>
                </c:pt>
                <c:pt idx="8">
                  <c:v>808</c:v>
                </c:pt>
                <c:pt idx="9">
                  <c:v>752</c:v>
                </c:pt>
                <c:pt idx="10">
                  <c:v>741</c:v>
                </c:pt>
                <c:pt idx="11">
                  <c:v>774</c:v>
                </c:pt>
                <c:pt idx="12">
                  <c:v>771</c:v>
                </c:pt>
                <c:pt idx="13">
                  <c:v>770</c:v>
                </c:pt>
                <c:pt idx="14">
                  <c:v>760</c:v>
                </c:pt>
                <c:pt idx="15">
                  <c:v>770</c:v>
                </c:pt>
                <c:pt idx="16">
                  <c:v>760</c:v>
                </c:pt>
                <c:pt idx="17">
                  <c:v>754</c:v>
                </c:pt>
                <c:pt idx="20">
                  <c:v>781</c:v>
                </c:pt>
                <c:pt idx="25">
                  <c:v>778</c:v>
                </c:pt>
                <c:pt idx="30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E849-855F-624C58C7BEBD}"/>
            </c:ext>
          </c:extLst>
        </c:ser>
        <c:ser>
          <c:idx val="1"/>
          <c:order val="1"/>
          <c:tx>
            <c:strRef>
              <c:f>MRT.Cap!$R$4</c:f>
              <c:strCache>
                <c:ptCount val="1"/>
                <c:pt idx="0">
                  <c:v>Trolleybus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86264216972882E-2"/>
                  <c:y val="0.105713400408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MRT.Cap!$R$6:$R$37</c:f>
              <c:numCache>
                <c:formatCode>General</c:formatCode>
                <c:ptCount val="32"/>
                <c:pt idx="0">
                  <c:v>697</c:v>
                </c:pt>
                <c:pt idx="1">
                  <c:v>725</c:v>
                </c:pt>
                <c:pt idx="2">
                  <c:v>701</c:v>
                </c:pt>
                <c:pt idx="3">
                  <c:v>696</c:v>
                </c:pt>
                <c:pt idx="4">
                  <c:v>692</c:v>
                </c:pt>
                <c:pt idx="5">
                  <c:v>698</c:v>
                </c:pt>
                <c:pt idx="6">
                  <c:v>696</c:v>
                </c:pt>
                <c:pt idx="7">
                  <c:v>683</c:v>
                </c:pt>
                <c:pt idx="8">
                  <c:v>680</c:v>
                </c:pt>
                <c:pt idx="9">
                  <c:v>670</c:v>
                </c:pt>
                <c:pt idx="10">
                  <c:v>646</c:v>
                </c:pt>
                <c:pt idx="11">
                  <c:v>625</c:v>
                </c:pt>
                <c:pt idx="12">
                  <c:v>616</c:v>
                </c:pt>
                <c:pt idx="13">
                  <c:v>588</c:v>
                </c:pt>
                <c:pt idx="14">
                  <c:v>588</c:v>
                </c:pt>
                <c:pt idx="15">
                  <c:v>606</c:v>
                </c:pt>
                <c:pt idx="16">
                  <c:v>606</c:v>
                </c:pt>
                <c:pt idx="17">
                  <c:v>596</c:v>
                </c:pt>
                <c:pt idx="20">
                  <c:v>606</c:v>
                </c:pt>
                <c:pt idx="25">
                  <c:v>548</c:v>
                </c:pt>
                <c:pt idx="30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F-E849-855F-624C58C7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19359"/>
        <c:axId val="1179004511"/>
      </c:scatterChart>
      <c:valAx>
        <c:axId val="12079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004511"/>
        <c:crosses val="autoZero"/>
        <c:crossBetween val="midCat"/>
      </c:valAx>
      <c:valAx>
        <c:axId val="1179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79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MRT.Act!$S$5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MRT.Act!$S$6:$S$36</c:f>
              <c:numCache>
                <c:formatCode>General</c:formatCode>
                <c:ptCount val="31"/>
                <c:pt idx="0">
                  <c:v>2.8539349422875133E-2</c:v>
                </c:pt>
                <c:pt idx="1">
                  <c:v>2.9129842931937173E-2</c:v>
                </c:pt>
                <c:pt idx="2">
                  <c:v>2.8524048096192384E-2</c:v>
                </c:pt>
                <c:pt idx="3">
                  <c:v>2.7609090909090906E-2</c:v>
                </c:pt>
                <c:pt idx="4">
                  <c:v>2.962742980561555E-2</c:v>
                </c:pt>
                <c:pt idx="5">
                  <c:v>3.1192784667418264E-2</c:v>
                </c:pt>
                <c:pt idx="6">
                  <c:v>3.1567505720823799E-2</c:v>
                </c:pt>
                <c:pt idx="7">
                  <c:v>3.1250863060989641E-2</c:v>
                </c:pt>
                <c:pt idx="8">
                  <c:v>3.336262376237624E-2</c:v>
                </c:pt>
                <c:pt idx="9">
                  <c:v>3.5224734042553191E-2</c:v>
                </c:pt>
                <c:pt idx="10">
                  <c:v>3.5831309041835353E-2</c:v>
                </c:pt>
                <c:pt idx="11">
                  <c:v>3.6329457364341088E-2</c:v>
                </c:pt>
                <c:pt idx="12">
                  <c:v>3.6024643320363162E-2</c:v>
                </c:pt>
                <c:pt idx="13">
                  <c:v>3.6294805194805192E-2</c:v>
                </c:pt>
                <c:pt idx="14">
                  <c:v>5.526315789473684E-2</c:v>
                </c:pt>
                <c:pt idx="15">
                  <c:v>3.5944155844155841E-2</c:v>
                </c:pt>
                <c:pt idx="16">
                  <c:v>3.6009210526315789E-2</c:v>
                </c:pt>
                <c:pt idx="17">
                  <c:v>3.5974801061007956E-2</c:v>
                </c:pt>
                <c:pt idx="18">
                  <c:v>3.4836173001310616E-2</c:v>
                </c:pt>
                <c:pt idx="19">
                  <c:v>3.6139896373056993E-2</c:v>
                </c:pt>
                <c:pt idx="20">
                  <c:v>3.6389244558258642E-2</c:v>
                </c:pt>
                <c:pt idx="21">
                  <c:v>3.9607893388006153E-2</c:v>
                </c:pt>
                <c:pt idx="22">
                  <c:v>4.1882533983072581E-2</c:v>
                </c:pt>
                <c:pt idx="23">
                  <c:v>4.2171457905544149E-2</c:v>
                </c:pt>
                <c:pt idx="24">
                  <c:v>4.251220138710507E-2</c:v>
                </c:pt>
                <c:pt idx="25">
                  <c:v>4.2570694087403597E-2</c:v>
                </c:pt>
                <c:pt idx="26">
                  <c:v>4.168748373666406E-2</c:v>
                </c:pt>
                <c:pt idx="27">
                  <c:v>4.366438356164383E-2</c:v>
                </c:pt>
                <c:pt idx="28">
                  <c:v>4.5372099226460391E-2</c:v>
                </c:pt>
                <c:pt idx="29">
                  <c:v>4.5891410048622364E-2</c:v>
                </c:pt>
                <c:pt idx="30">
                  <c:v>4.5797537619699041E-2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0C42-8181-B489FFFE4BBB}"/>
            </c:ext>
          </c:extLst>
        </c:ser>
        <c:ser>
          <c:idx val="1"/>
          <c:order val="1"/>
          <c:tx>
            <c:strRef>
              <c:f>MRT.Act!$T$5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MRT.Act!$T$6:$T$36</c:f>
              <c:numCache>
                <c:formatCode>General</c:formatCode>
                <c:ptCount val="31"/>
                <c:pt idx="0">
                  <c:v>4.0954088952654233E-2</c:v>
                </c:pt>
                <c:pt idx="1">
                  <c:v>4.0253793103448281E-2</c:v>
                </c:pt>
                <c:pt idx="2">
                  <c:v>4.3272467902995722E-2</c:v>
                </c:pt>
                <c:pt idx="3">
                  <c:v>4.1772988505747129E-2</c:v>
                </c:pt>
                <c:pt idx="4">
                  <c:v>4.1602601156069369E-2</c:v>
                </c:pt>
                <c:pt idx="5">
                  <c:v>4.0714899713467048E-2</c:v>
                </c:pt>
                <c:pt idx="6">
                  <c:v>4.126724137931035E-2</c:v>
                </c:pt>
                <c:pt idx="7">
                  <c:v>4.2576866764275252E-2</c:v>
                </c:pt>
                <c:pt idx="8">
                  <c:v>4.3666176470588236E-2</c:v>
                </c:pt>
                <c:pt idx="9">
                  <c:v>4.4789552238805971E-2</c:v>
                </c:pt>
                <c:pt idx="10">
                  <c:v>4.5568111455108362E-2</c:v>
                </c:pt>
                <c:pt idx="11">
                  <c:v>4.5244799999999995E-2</c:v>
                </c:pt>
                <c:pt idx="12">
                  <c:v>4.4480519480519481E-2</c:v>
                </c:pt>
                <c:pt idx="13">
                  <c:v>4.6173469387755101E-2</c:v>
                </c:pt>
                <c:pt idx="14">
                  <c:v>5.1020408163265307E-2</c:v>
                </c:pt>
                <c:pt idx="15">
                  <c:v>4.4490099009900988E-2</c:v>
                </c:pt>
                <c:pt idx="16">
                  <c:v>4.3912541254125415E-2</c:v>
                </c:pt>
                <c:pt idx="17">
                  <c:v>4.3216442953020136E-2</c:v>
                </c:pt>
                <c:pt idx="18">
                  <c:v>4.4506117908787536E-2</c:v>
                </c:pt>
                <c:pt idx="19">
                  <c:v>4.4800884955752206E-2</c:v>
                </c:pt>
                <c:pt idx="20">
                  <c:v>4.4554455445544552E-2</c:v>
                </c:pt>
                <c:pt idx="21">
                  <c:v>4.6988559892328398E-2</c:v>
                </c:pt>
                <c:pt idx="22">
                  <c:v>4.7529169526424164E-2</c:v>
                </c:pt>
                <c:pt idx="23">
                  <c:v>4.8161764705882362E-2</c:v>
                </c:pt>
                <c:pt idx="24">
                  <c:v>4.8320228734810587E-2</c:v>
                </c:pt>
                <c:pt idx="25">
                  <c:v>4.9507299270072989E-2</c:v>
                </c:pt>
                <c:pt idx="26">
                  <c:v>4.9560117302052779E-2</c:v>
                </c:pt>
                <c:pt idx="27">
                  <c:v>5.0865243004418255E-2</c:v>
                </c:pt>
                <c:pt idx="28">
                  <c:v>5.1183431952662714E-2</c:v>
                </c:pt>
                <c:pt idx="29">
                  <c:v>5.0468053491827633E-2</c:v>
                </c:pt>
                <c:pt idx="30">
                  <c:v>5.0598880597014922E-2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0C42-8181-B489FFF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4640"/>
        <c:axId val="1818482432"/>
      </c:scatterChart>
      <c:valAx>
        <c:axId val="18191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8482432"/>
        <c:crosses val="autoZero"/>
        <c:crossBetween val="midCat"/>
      </c:valAx>
      <c:valAx>
        <c:axId val="181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91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Bus.Cap!$AR$5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Bus.Cap!$AR$6:$AR$38</c:f>
              <c:numCache>
                <c:formatCode>General</c:formatCode>
                <c:ptCount val="33"/>
                <c:pt idx="0">
                  <c:v>7318</c:v>
                </c:pt>
                <c:pt idx="1">
                  <c:v>7486</c:v>
                </c:pt>
                <c:pt idx="2">
                  <c:v>7516</c:v>
                </c:pt>
                <c:pt idx="3">
                  <c:v>7563</c:v>
                </c:pt>
                <c:pt idx="4">
                  <c:v>7716</c:v>
                </c:pt>
                <c:pt idx="5">
                  <c:v>7836</c:v>
                </c:pt>
                <c:pt idx="6">
                  <c:v>7948</c:v>
                </c:pt>
                <c:pt idx="7">
                  <c:v>8275</c:v>
                </c:pt>
                <c:pt idx="8">
                  <c:v>8568</c:v>
                </c:pt>
                <c:pt idx="9">
                  <c:v>8959</c:v>
                </c:pt>
                <c:pt idx="10">
                  <c:v>9343</c:v>
                </c:pt>
                <c:pt idx="11">
                  <c:v>10090</c:v>
                </c:pt>
                <c:pt idx="12">
                  <c:v>10640</c:v>
                </c:pt>
                <c:pt idx="13">
                  <c:v>11137</c:v>
                </c:pt>
                <c:pt idx="14">
                  <c:v>11768</c:v>
                </c:pt>
                <c:pt idx="15">
                  <c:v>12415</c:v>
                </c:pt>
                <c:pt idx="16">
                  <c:v>12827</c:v>
                </c:pt>
                <c:pt idx="17">
                  <c:v>13312</c:v>
                </c:pt>
                <c:pt idx="18">
                  <c:v>13147</c:v>
                </c:pt>
                <c:pt idx="19">
                  <c:v>13669</c:v>
                </c:pt>
                <c:pt idx="20">
                  <c:v>14116</c:v>
                </c:pt>
                <c:pt idx="21">
                  <c:v>14399</c:v>
                </c:pt>
                <c:pt idx="22">
                  <c:v>14487</c:v>
                </c:pt>
                <c:pt idx="23">
                  <c:v>13967</c:v>
                </c:pt>
                <c:pt idx="24">
                  <c:v>13774</c:v>
                </c:pt>
                <c:pt idx="25">
                  <c:v>13759</c:v>
                </c:pt>
                <c:pt idx="26">
                  <c:v>13700</c:v>
                </c:pt>
                <c:pt idx="27">
                  <c:v>13593</c:v>
                </c:pt>
                <c:pt idx="28">
                  <c:v>13472</c:v>
                </c:pt>
                <c:pt idx="29">
                  <c:v>13352</c:v>
                </c:pt>
                <c:pt idx="30">
                  <c:v>12136</c:v>
                </c:pt>
                <c:pt idx="31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D34A-B757-6A9D8F144E1A}"/>
            </c:ext>
          </c:extLst>
        </c:ser>
        <c:ser>
          <c:idx val="1"/>
          <c:order val="1"/>
          <c:tx>
            <c:strRef>
              <c:f>Bus.Cap!$AS$5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Bus.Cap!$AS$6:$AS$38</c:f>
              <c:numCache>
                <c:formatCode>General</c:formatCode>
                <c:ptCount val="33"/>
                <c:pt idx="0">
                  <c:v>16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24</c:v>
                </c:pt>
                <c:pt idx="20">
                  <c:v>25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54</c:v>
                </c:pt>
                <c:pt idx="28">
                  <c:v>72</c:v>
                </c:pt>
                <c:pt idx="29">
                  <c:v>83</c:v>
                </c:pt>
                <c:pt idx="30">
                  <c:v>94</c:v>
                </c:pt>
                <c:pt idx="31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D34A-B757-6A9D8F144E1A}"/>
            </c:ext>
          </c:extLst>
        </c:ser>
        <c:ser>
          <c:idx val="2"/>
          <c:order val="2"/>
          <c:tx>
            <c:strRef>
              <c:f>Bus.Cap!$AT$5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Bus.Cap!$AT$6:$AT$38</c:f>
              <c:numCache>
                <c:formatCode>General</c:formatCode>
                <c:ptCount val="33"/>
                <c:pt idx="0">
                  <c:v>5046</c:v>
                </c:pt>
                <c:pt idx="1">
                  <c:v>5206</c:v>
                </c:pt>
                <c:pt idx="2">
                  <c:v>5349</c:v>
                </c:pt>
                <c:pt idx="3">
                  <c:v>5496</c:v>
                </c:pt>
                <c:pt idx="4">
                  <c:v>5653</c:v>
                </c:pt>
                <c:pt idx="5">
                  <c:v>5879</c:v>
                </c:pt>
                <c:pt idx="6">
                  <c:v>5932</c:v>
                </c:pt>
                <c:pt idx="7">
                  <c:v>5880</c:v>
                </c:pt>
                <c:pt idx="8">
                  <c:v>5875</c:v>
                </c:pt>
                <c:pt idx="9">
                  <c:v>5909</c:v>
                </c:pt>
                <c:pt idx="10">
                  <c:v>5772</c:v>
                </c:pt>
                <c:pt idx="11">
                  <c:v>5501</c:v>
                </c:pt>
                <c:pt idx="12">
                  <c:v>5266</c:v>
                </c:pt>
                <c:pt idx="13">
                  <c:v>5036</c:v>
                </c:pt>
                <c:pt idx="14">
                  <c:v>4570</c:v>
                </c:pt>
                <c:pt idx="15">
                  <c:v>4081</c:v>
                </c:pt>
                <c:pt idx="16">
                  <c:v>3669</c:v>
                </c:pt>
                <c:pt idx="17">
                  <c:v>3191</c:v>
                </c:pt>
                <c:pt idx="18">
                  <c:v>2689</c:v>
                </c:pt>
                <c:pt idx="19">
                  <c:v>2325</c:v>
                </c:pt>
                <c:pt idx="20">
                  <c:v>1958</c:v>
                </c:pt>
                <c:pt idx="21">
                  <c:v>1710</c:v>
                </c:pt>
                <c:pt idx="22">
                  <c:v>1469</c:v>
                </c:pt>
                <c:pt idx="23">
                  <c:v>1182</c:v>
                </c:pt>
                <c:pt idx="24">
                  <c:v>954</c:v>
                </c:pt>
                <c:pt idx="25">
                  <c:v>811</c:v>
                </c:pt>
                <c:pt idx="26">
                  <c:v>704</c:v>
                </c:pt>
                <c:pt idx="27">
                  <c:v>622</c:v>
                </c:pt>
                <c:pt idx="28">
                  <c:v>530</c:v>
                </c:pt>
                <c:pt idx="29">
                  <c:v>453</c:v>
                </c:pt>
                <c:pt idx="30">
                  <c:v>385</c:v>
                </c:pt>
                <c:pt idx="3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D-D34A-B757-6A9D8F144E1A}"/>
            </c:ext>
          </c:extLst>
        </c:ser>
        <c:ser>
          <c:idx val="3"/>
          <c:order val="3"/>
          <c:tx>
            <c:strRef>
              <c:f>Bus.Cap!$AU$5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28</c:v>
                </c:pt>
                <c:pt idx="5">
                  <c:v>39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34</c:v>
                </c:pt>
                <c:pt idx="13">
                  <c:v>33</c:v>
                </c:pt>
                <c:pt idx="14">
                  <c:v>38</c:v>
                </c:pt>
                <c:pt idx="15">
                  <c:v>71</c:v>
                </c:pt>
                <c:pt idx="16">
                  <c:v>97</c:v>
                </c:pt>
                <c:pt idx="17">
                  <c:v>129</c:v>
                </c:pt>
                <c:pt idx="18">
                  <c:v>190</c:v>
                </c:pt>
                <c:pt idx="19">
                  <c:v>189</c:v>
                </c:pt>
                <c:pt idx="20">
                  <c:v>227</c:v>
                </c:pt>
                <c:pt idx="21">
                  <c:v>231</c:v>
                </c:pt>
                <c:pt idx="22">
                  <c:v>247</c:v>
                </c:pt>
                <c:pt idx="23">
                  <c:v>279</c:v>
                </c:pt>
                <c:pt idx="24">
                  <c:v>264</c:v>
                </c:pt>
                <c:pt idx="25">
                  <c:v>270</c:v>
                </c:pt>
                <c:pt idx="26">
                  <c:v>286</c:v>
                </c:pt>
                <c:pt idx="27">
                  <c:v>314</c:v>
                </c:pt>
                <c:pt idx="28">
                  <c:v>321</c:v>
                </c:pt>
                <c:pt idx="29">
                  <c:v>377</c:v>
                </c:pt>
                <c:pt idx="30">
                  <c:v>496</c:v>
                </c:pt>
                <c:pt idx="31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D-D34A-B757-6A9D8F14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20704"/>
        <c:axId val="1975208752"/>
      </c:scatterChart>
      <c:valAx>
        <c:axId val="192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5208752"/>
        <c:crosses val="autoZero"/>
        <c:crossBetween val="midCat"/>
      </c:valAx>
      <c:valAx>
        <c:axId val="1975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6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565150</xdr:colOff>
      <xdr:row>45</xdr:row>
      <xdr:rowOff>139700</xdr:rowOff>
    </xdr:from>
    <xdr:to>
      <xdr:col>27</xdr:col>
      <xdr:colOff>184150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11820-8AF6-00EF-E353-CD03F1B2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381006</xdr:colOff>
      <xdr:row>49</xdr:row>
      <xdr:rowOff>38106</xdr:rowOff>
    </xdr:from>
    <xdr:to>
      <xdr:col>27</xdr:col>
      <xdr:colOff>6</xdr:colOff>
      <xdr:row>62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9A24-A087-C9CF-9CCB-772E742E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45</xdr:row>
      <xdr:rowOff>0</xdr:rowOff>
    </xdr:from>
    <xdr:to>
      <xdr:col>65</xdr:col>
      <xdr:colOff>495300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EEFF-BE8F-23DF-5426-1B1F673E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88906</xdr:colOff>
      <xdr:row>45</xdr:row>
      <xdr:rowOff>6350</xdr:rowOff>
    </xdr:from>
    <xdr:to>
      <xdr:col>78</xdr:col>
      <xdr:colOff>723900</xdr:colOff>
      <xdr:row>68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B7270-8D09-E27E-489C-7378DB3D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584206</xdr:colOff>
      <xdr:row>54</xdr:row>
      <xdr:rowOff>25400</xdr:rowOff>
    </xdr:from>
    <xdr:to>
      <xdr:col>27</xdr:col>
      <xdr:colOff>25406</xdr:colOff>
      <xdr:row>67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2998-3D09-1079-0855-E66C9F04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38106</xdr:colOff>
      <xdr:row>46</xdr:row>
      <xdr:rowOff>63506</xdr:rowOff>
    </xdr:from>
    <xdr:to>
      <xdr:col>16</xdr:col>
      <xdr:colOff>342906</xdr:colOff>
      <xdr:row>59</xdr:row>
      <xdr:rowOff>165106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7EA9-0F51-62B2-399C-3627B19C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736600</xdr:colOff>
      <xdr:row>48</xdr:row>
      <xdr:rowOff>165106</xdr:rowOff>
    </xdr:from>
    <xdr:to>
      <xdr:col>26</xdr:col>
      <xdr:colOff>330206</xdr:colOff>
      <xdr:row>62</xdr:row>
      <xdr:rowOff>63506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DCB3-D2FF-D257-4A3E-AB3F530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45</xdr:row>
      <xdr:rowOff>139706</xdr:rowOff>
    </xdr:from>
    <xdr:to>
      <xdr:col>20</xdr:col>
      <xdr:colOff>330200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E9B9-9AA6-F436-F52A-361B318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215906</xdr:colOff>
      <xdr:row>49</xdr:row>
      <xdr:rowOff>101606</xdr:rowOff>
    </xdr:from>
    <xdr:to>
      <xdr:col>21</xdr:col>
      <xdr:colOff>660406</xdr:colOff>
      <xdr:row>63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6B535-6CE0-8F58-936B-021819BC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812806</xdr:colOff>
      <xdr:row>49</xdr:row>
      <xdr:rowOff>25406</xdr:rowOff>
    </xdr:from>
    <xdr:to>
      <xdr:col>48</xdr:col>
      <xdr:colOff>431806</xdr:colOff>
      <xdr:row>62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B205-710D-51BA-53B6-DF9502F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812806</xdr:colOff>
      <xdr:row>49</xdr:row>
      <xdr:rowOff>50806</xdr:rowOff>
    </xdr:from>
    <xdr:to>
      <xdr:col>28</xdr:col>
      <xdr:colOff>431806</xdr:colOff>
      <xdr:row>62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04F-7D30-97A5-4552-A3BE691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trd.2021.103110" TargetMode="External"/><Relationship Id="rId13" Type="http://schemas.openxmlformats.org/officeDocument/2006/relationships/hyperlink" Target="https://doi.org/10.1049/iet-est.2019.0014" TargetMode="External"/><Relationship Id="rId3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transport.ec.europa.eu/transport-themes/clean-transport-urban-transport/sumi_en" TargetMode="External"/><Relationship Id="rId2" Type="http://schemas.openxmlformats.org/officeDocument/2006/relationships/hyperlink" Target="https://opendata.swiss/en/dataset/bestand-der-strassenfahrzeuge-nach-fahrzeuggruppe-und-fahrzeugart-ab-19902" TargetMode="External"/><Relationship Id="rId1" Type="http://schemas.openxmlformats.org/officeDocument/2006/relationships/hyperlink" Target="https://www.bfs.admin.ch/bfs/en/home/statistics/mobility-transport/passenger-transport/performance.html" TargetMode="External"/><Relationship Id="rId6" Type="http://schemas.openxmlformats.org/officeDocument/2006/relationships/hyperlink" Target="http://dx.doi.org/10.1016/j.enpol.2012.05.038" TargetMode="External"/><Relationship Id="rId11" Type="http://schemas.openxmlformats.org/officeDocument/2006/relationships/hyperlink" Target="https://reporting.sbb.ch/?=&amp;scroll=0" TargetMode="External"/><Relationship Id="rId5" Type="http://schemas.openxmlformats.org/officeDocument/2006/relationships/hyperlink" Target="https://doi.org/10.1016/j.jclepro.2018.12.019" TargetMode="External"/><Relationship Id="rId15" Type="http://schemas.openxmlformats.org/officeDocument/2006/relationships/hyperlink" Target="https://assets.bbhub.io/professional/sites/24/2018/05/Electric-Buses-in-Cities-Report-BNEF-C40-Citi.pdf" TargetMode="External"/><Relationship Id="rId10" Type="http://schemas.openxmlformats.org/officeDocument/2006/relationships/hyperlink" Target="https://doi.org/10.17226/22149" TargetMode="External"/><Relationship Id="rId4" Type="http://schemas.openxmlformats.org/officeDocument/2006/relationships/hyperlink" Target="https://www.bfs.admin.ch/bfs/de/home/statistiken/mobilitaet-verkehr/querschnittsthemen/oeffentlicher-verkehr.assetdetail.23725822.html" TargetMode="External"/><Relationship Id="rId9" Type="http://schemas.openxmlformats.org/officeDocument/2006/relationships/hyperlink" Target="https://iea.blob.core.windows.net/assets/66965fb0-87c9-4bc7-990d-a509a1646956/Fuel_Economy_in_Major_Car_Markets.pdf" TargetMode="External"/><Relationship Id="rId14" Type="http://schemas.openxmlformats.org/officeDocument/2006/relationships/hyperlink" Target="https://doi.org/10.1016/j.trd.2015.09.00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nap.nationalacademies.org/catalog/22149/alternative-funding-and-financing-mechanisms-for-passenger-and-freight-rail-projects" TargetMode="External"/><Relationship Id="rId2" Type="http://schemas.openxmlformats.org/officeDocument/2006/relationships/hyperlink" Target="https://reporting.sbb.ch/?=&amp;scroll=0" TargetMode="External"/><Relationship Id="rId1" Type="http://schemas.openxmlformats.org/officeDocument/2006/relationships/hyperlink" Target="https://doi.org/10.17226/2214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transport-themes/clean-transport-urban-transport/sumi_en" TargetMode="External"/><Relationship Id="rId1" Type="http://schemas.openxmlformats.org/officeDocument/2006/relationships/hyperlink" Target="https://transport.ec.europa.eu/transport-themes/clean-transport-urban-transport/sumi_e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opendata.swiss/en/dataset/bestand-der-strassenfahrzeuge-nach-fahrzeuggruppe-und-fahrzeugart-ab-19902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re.admin.ch/are/de/home/mobilitaet/grundlagen-und-daten/mzmv.html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re.admin.ch/are/en/home/mobility/data/mtmc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opendata.swiss/en/dataset/bestand-der-strassenfahrzeuge-nach-fahrzeuggruppe-und-fahrzeugart-ab-19902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8.12.019" TargetMode="External"/><Relationship Id="rId2" Type="http://schemas.openxmlformats.org/officeDocument/2006/relationships/hyperlink" Target="https://www.iea.org/data-and-statistics/data-tools/global-ev-data-explorer" TargetMode="External"/><Relationship Id="rId1" Type="http://schemas.openxmlformats.org/officeDocument/2006/relationships/hyperlink" Target="https://www.iea.org/data-and-statistics/data-tools/global-ev-data-explorer" TargetMode="External"/><Relationship Id="rId6" Type="http://schemas.openxmlformats.org/officeDocument/2006/relationships/hyperlink" Target="https://www.iea.org/data-and-statistics/data-tools/global-ev-data-explorer" TargetMode="External"/><Relationship Id="rId5" Type="http://schemas.openxmlformats.org/officeDocument/2006/relationships/hyperlink" Target="https://www.iea.org/data-and-statistics/data-tools/global-ev-data-explorer" TargetMode="External"/><Relationship Id="rId4" Type="http://schemas.openxmlformats.org/officeDocument/2006/relationships/hyperlink" Target="https://doi.org/10.1016/j.enpol.2012.05.03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fuel-economy-in-major-car-markets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A313-63D4-1749-8B03-F87FEC199993}">
  <dimension ref="A1:J16"/>
  <sheetViews>
    <sheetView workbookViewId="0">
      <pane ySplit="1" topLeftCell="A5" activePane="bottomLeft" state="frozen"/>
      <selection pane="bottomLeft" activeCell="J16" sqref="J16"/>
    </sheetView>
  </sheetViews>
  <sheetFormatPr baseColWidth="10" defaultRowHeight="16" x14ac:dyDescent="0.2"/>
  <cols>
    <col min="1" max="1" width="10.83203125" style="36"/>
    <col min="2" max="2" width="29" style="36" bestFit="1" customWidth="1"/>
    <col min="3" max="3" width="10.33203125" style="36" bestFit="1" customWidth="1"/>
    <col min="4" max="4" width="12.5" bestFit="1" customWidth="1"/>
    <col min="5" max="6" width="12.33203125" style="36" bestFit="1" customWidth="1"/>
    <col min="7" max="7" width="71.1640625" style="36" customWidth="1"/>
    <col min="8" max="8" width="54.83203125" style="36" customWidth="1"/>
  </cols>
  <sheetData>
    <row r="1" spans="1:10" s="2" customFormat="1" ht="17" x14ac:dyDescent="0.2">
      <c r="A1" s="11" t="s">
        <v>384</v>
      </c>
      <c r="B1" s="11" t="s">
        <v>357</v>
      </c>
      <c r="C1" s="11" t="s">
        <v>360</v>
      </c>
      <c r="D1" s="2" t="s">
        <v>366</v>
      </c>
      <c r="E1" s="11" t="s">
        <v>363</v>
      </c>
      <c r="F1" s="11" t="s">
        <v>370</v>
      </c>
      <c r="G1" s="11" t="s">
        <v>358</v>
      </c>
      <c r="H1" s="11" t="s">
        <v>70</v>
      </c>
      <c r="I1" s="2" t="s">
        <v>359</v>
      </c>
      <c r="J1" s="2" t="s">
        <v>361</v>
      </c>
    </row>
    <row r="2" spans="1:10" ht="34" x14ac:dyDescent="0.2">
      <c r="A2" s="36" t="s">
        <v>185</v>
      </c>
      <c r="B2" s="36" t="s">
        <v>362</v>
      </c>
      <c r="C2" s="36" t="s">
        <v>352</v>
      </c>
      <c r="D2" t="s">
        <v>379</v>
      </c>
      <c r="E2" s="36" t="s">
        <v>400</v>
      </c>
      <c r="F2" s="36" t="s">
        <v>371</v>
      </c>
      <c r="G2" s="36" t="s">
        <v>408</v>
      </c>
      <c r="H2" s="36" t="s">
        <v>376</v>
      </c>
      <c r="I2" t="s">
        <v>364</v>
      </c>
      <c r="J2" s="45" t="s">
        <v>365</v>
      </c>
    </row>
    <row r="3" spans="1:10" ht="34" x14ac:dyDescent="0.2">
      <c r="A3" s="36" t="s">
        <v>185</v>
      </c>
      <c r="B3" s="36" t="s">
        <v>367</v>
      </c>
      <c r="C3" s="36" t="s">
        <v>352</v>
      </c>
      <c r="D3" t="s">
        <v>379</v>
      </c>
      <c r="E3" s="36" t="s">
        <v>368</v>
      </c>
      <c r="F3" s="36" t="s">
        <v>372</v>
      </c>
      <c r="G3" s="36" t="s">
        <v>407</v>
      </c>
      <c r="H3" s="36" t="s">
        <v>369</v>
      </c>
      <c r="I3" t="s">
        <v>364</v>
      </c>
      <c r="J3" s="45" t="s">
        <v>5</v>
      </c>
    </row>
    <row r="4" spans="1:10" ht="51" x14ac:dyDescent="0.2">
      <c r="A4" s="36" t="s">
        <v>185</v>
      </c>
      <c r="B4" s="36" t="s">
        <v>373</v>
      </c>
      <c r="C4" s="36" t="s">
        <v>352</v>
      </c>
      <c r="D4" t="s">
        <v>379</v>
      </c>
      <c r="E4" s="36" t="s">
        <v>374</v>
      </c>
      <c r="F4" s="36" t="s">
        <v>375</v>
      </c>
      <c r="G4" s="36" t="s">
        <v>407</v>
      </c>
      <c r="H4" s="36" t="s">
        <v>377</v>
      </c>
      <c r="I4" t="s">
        <v>364</v>
      </c>
      <c r="J4" s="45" t="s">
        <v>33</v>
      </c>
    </row>
    <row r="5" spans="1:10" ht="51" x14ac:dyDescent="0.2">
      <c r="A5" s="36" t="s">
        <v>333</v>
      </c>
      <c r="B5" s="36" t="s">
        <v>378</v>
      </c>
      <c r="C5" s="36" t="s">
        <v>352</v>
      </c>
      <c r="D5" t="s">
        <v>379</v>
      </c>
      <c r="E5" s="36" t="s">
        <v>380</v>
      </c>
      <c r="F5" s="36" t="s">
        <v>381</v>
      </c>
      <c r="G5" s="36" t="s">
        <v>406</v>
      </c>
      <c r="H5" s="36" t="s">
        <v>382</v>
      </c>
      <c r="I5" s="36" t="s">
        <v>364</v>
      </c>
      <c r="J5" s="45" t="s">
        <v>383</v>
      </c>
    </row>
    <row r="6" spans="1:10" ht="85" x14ac:dyDescent="0.2">
      <c r="A6" s="36" t="s">
        <v>394</v>
      </c>
      <c r="B6" s="36" t="s">
        <v>385</v>
      </c>
      <c r="C6" s="36" t="s">
        <v>386</v>
      </c>
      <c r="D6" t="s">
        <v>389</v>
      </c>
      <c r="E6" s="36" t="s">
        <v>387</v>
      </c>
      <c r="F6" s="36" t="s">
        <v>388</v>
      </c>
      <c r="G6" s="36" t="s">
        <v>137</v>
      </c>
      <c r="H6" s="36" t="s">
        <v>391</v>
      </c>
      <c r="I6" t="s">
        <v>364</v>
      </c>
      <c r="J6" s="45" t="s">
        <v>390</v>
      </c>
    </row>
    <row r="7" spans="1:10" ht="68" x14ac:dyDescent="0.2">
      <c r="A7" s="36" t="s">
        <v>394</v>
      </c>
      <c r="B7" s="36" t="s">
        <v>392</v>
      </c>
      <c r="C7" s="36" t="s">
        <v>386</v>
      </c>
      <c r="D7" t="s">
        <v>389</v>
      </c>
      <c r="E7" s="36" t="s">
        <v>387</v>
      </c>
      <c r="F7" s="36" t="s">
        <v>393</v>
      </c>
      <c r="G7" s="36" t="s">
        <v>136</v>
      </c>
      <c r="H7" s="36" t="s">
        <v>391</v>
      </c>
      <c r="I7" t="s">
        <v>364</v>
      </c>
      <c r="J7" s="45" t="s">
        <v>395</v>
      </c>
    </row>
    <row r="8" spans="1:10" ht="68" x14ac:dyDescent="0.2">
      <c r="A8" s="36" t="s">
        <v>394</v>
      </c>
      <c r="B8" s="36" t="s">
        <v>404</v>
      </c>
      <c r="C8" s="36" t="s">
        <v>352</v>
      </c>
      <c r="D8" t="s">
        <v>379</v>
      </c>
      <c r="E8" s="36" t="s">
        <v>399</v>
      </c>
      <c r="F8" s="36" t="s">
        <v>401</v>
      </c>
      <c r="G8" s="36" t="s">
        <v>402</v>
      </c>
      <c r="H8" s="36" t="s">
        <v>403</v>
      </c>
      <c r="I8" t="s">
        <v>364</v>
      </c>
      <c r="J8" s="45" t="s">
        <v>398</v>
      </c>
    </row>
    <row r="9" spans="1:10" ht="34" x14ac:dyDescent="0.2">
      <c r="A9" s="36" t="s">
        <v>394</v>
      </c>
      <c r="B9" s="36" t="s">
        <v>396</v>
      </c>
      <c r="C9" s="36" t="s">
        <v>397</v>
      </c>
      <c r="D9" t="s">
        <v>389</v>
      </c>
      <c r="E9" s="36" t="s">
        <v>409</v>
      </c>
      <c r="F9" s="36">
        <v>2020</v>
      </c>
      <c r="G9" s="36" t="s">
        <v>405</v>
      </c>
      <c r="H9" s="36" t="s">
        <v>410</v>
      </c>
      <c r="I9" s="36" t="s">
        <v>364</v>
      </c>
      <c r="J9" s="45" t="s">
        <v>411</v>
      </c>
    </row>
    <row r="10" spans="1:10" ht="34" x14ac:dyDescent="0.2">
      <c r="A10" s="36" t="s">
        <v>394</v>
      </c>
      <c r="B10" s="36" t="s">
        <v>158</v>
      </c>
      <c r="C10" s="36" t="s">
        <v>155</v>
      </c>
      <c r="E10" s="36" t="s">
        <v>413</v>
      </c>
      <c r="F10" s="36" t="s">
        <v>412</v>
      </c>
      <c r="G10" s="36" t="s">
        <v>414</v>
      </c>
      <c r="H10" s="36" t="s">
        <v>416</v>
      </c>
      <c r="I10" s="36" t="s">
        <v>364</v>
      </c>
      <c r="J10" s="45" t="s">
        <v>415</v>
      </c>
    </row>
    <row r="11" spans="1:10" ht="68" x14ac:dyDescent="0.2">
      <c r="A11" s="36" t="s">
        <v>417</v>
      </c>
      <c r="B11" s="36" t="s">
        <v>233</v>
      </c>
      <c r="C11" s="36" t="s">
        <v>418</v>
      </c>
      <c r="E11" s="36" t="s">
        <v>387</v>
      </c>
      <c r="F11" s="36">
        <v>2015</v>
      </c>
      <c r="G11" s="36" t="s">
        <v>71</v>
      </c>
      <c r="I11" t="s">
        <v>364</v>
      </c>
      <c r="J11" s="45" t="s">
        <v>207</v>
      </c>
    </row>
    <row r="12" spans="1:10" ht="34" x14ac:dyDescent="0.2">
      <c r="A12" s="36" t="s">
        <v>417</v>
      </c>
      <c r="B12" s="36" t="s">
        <v>422</v>
      </c>
      <c r="C12" s="36" t="s">
        <v>419</v>
      </c>
      <c r="E12" s="36" t="s">
        <v>420</v>
      </c>
      <c r="F12" s="36" t="s">
        <v>421</v>
      </c>
      <c r="G12" s="36" t="s">
        <v>71</v>
      </c>
      <c r="H12" s="36" t="s">
        <v>423</v>
      </c>
      <c r="I12" t="s">
        <v>364</v>
      </c>
      <c r="J12" s="45" t="s">
        <v>214</v>
      </c>
    </row>
    <row r="13" spans="1:10" ht="34" x14ac:dyDescent="0.2">
      <c r="A13" s="36" t="s">
        <v>333</v>
      </c>
      <c r="B13" s="36" t="s">
        <v>424</v>
      </c>
      <c r="C13" s="36" t="s">
        <v>425</v>
      </c>
      <c r="E13" s="36" t="s">
        <v>399</v>
      </c>
      <c r="F13" s="36" t="s">
        <v>426</v>
      </c>
      <c r="G13" s="36" t="s">
        <v>427</v>
      </c>
      <c r="H13" s="36" t="s">
        <v>428</v>
      </c>
      <c r="I13" s="36" t="s">
        <v>364</v>
      </c>
      <c r="J13" s="45" t="s">
        <v>226</v>
      </c>
    </row>
    <row r="14" spans="1:10" ht="85" x14ac:dyDescent="0.2">
      <c r="A14" s="36" t="s">
        <v>333</v>
      </c>
      <c r="B14" s="36" t="s">
        <v>429</v>
      </c>
      <c r="C14" s="36" t="s">
        <v>430</v>
      </c>
      <c r="D14" s="36" t="s">
        <v>389</v>
      </c>
      <c r="E14" s="36" t="s">
        <v>432</v>
      </c>
      <c r="F14" s="36" t="s">
        <v>426</v>
      </c>
      <c r="G14" s="36" t="s">
        <v>431</v>
      </c>
      <c r="H14" s="36" t="s">
        <v>433</v>
      </c>
      <c r="I14" s="36" t="s">
        <v>364</v>
      </c>
      <c r="J14" s="45" t="s">
        <v>434</v>
      </c>
    </row>
    <row r="15" spans="1:10" ht="85" x14ac:dyDescent="0.2">
      <c r="A15" s="36" t="s">
        <v>435</v>
      </c>
      <c r="B15" s="36" t="s">
        <v>436</v>
      </c>
      <c r="C15" s="36" t="s">
        <v>386</v>
      </c>
      <c r="D15" s="36" t="s">
        <v>389</v>
      </c>
      <c r="E15" s="36" t="s">
        <v>432</v>
      </c>
      <c r="F15" s="36" t="s">
        <v>437</v>
      </c>
      <c r="G15" s="36" t="s">
        <v>438</v>
      </c>
      <c r="H15" s="36" t="s">
        <v>440</v>
      </c>
      <c r="I15" s="36" t="s">
        <v>364</v>
      </c>
      <c r="J15" s="45" t="s">
        <v>439</v>
      </c>
    </row>
    <row r="16" spans="1:10" ht="34" x14ac:dyDescent="0.2">
      <c r="A16" s="36" t="s">
        <v>333</v>
      </c>
      <c r="B16" s="36" t="s">
        <v>441</v>
      </c>
      <c r="C16" s="36" t="s">
        <v>442</v>
      </c>
      <c r="D16" s="53" t="s">
        <v>443</v>
      </c>
      <c r="E16" s="36" t="s">
        <v>444</v>
      </c>
      <c r="F16" s="36" t="s">
        <v>445</v>
      </c>
      <c r="G16" s="36" t="s">
        <v>446</v>
      </c>
      <c r="H16" s="36" t="s">
        <v>447</v>
      </c>
      <c r="I16" s="36" t="s">
        <v>364</v>
      </c>
      <c r="J16" s="45" t="s">
        <v>265</v>
      </c>
    </row>
  </sheetData>
  <hyperlinks>
    <hyperlink ref="J2" r:id="rId1" xr:uid="{65610E26-952F-E641-8EE9-26A43B203B06}"/>
    <hyperlink ref="J3" r:id="rId2" xr:uid="{988A1E10-199C-EF45-A553-72AC057963BD}"/>
    <hyperlink ref="J4" r:id="rId3" xr:uid="{CEE35EEF-FFE5-804C-8E7D-ED98C4487EC9}"/>
    <hyperlink ref="J5" r:id="rId4" xr:uid="{BCD575C9-7397-6D41-8F15-9FF48C0B8D8F}"/>
    <hyperlink ref="J6" r:id="rId5" xr:uid="{30958453-9D99-3647-BC87-CACD0E0BB48B}"/>
    <hyperlink ref="J7" r:id="rId6" xr:uid="{BD5837E9-DA78-1B46-820E-244F7847FDF7}"/>
    <hyperlink ref="J8" r:id="rId7" xr:uid="{EC8B6A98-3CFD-9A40-8EB9-39D84051FF31}"/>
    <hyperlink ref="J9" r:id="rId8" xr:uid="{8E363F6F-DDCD-554E-AD55-20792037C16A}"/>
    <hyperlink ref="J10" r:id="rId9" xr:uid="{FD451C83-EF13-F444-A5E0-64A9FF74B543}"/>
    <hyperlink ref="J11" r:id="rId10" xr:uid="{0F45A33F-26D5-DB4A-8CC3-96357189A641}"/>
    <hyperlink ref="J12" r:id="rId11" xr:uid="{5649AD21-79E4-8E4B-8125-2C16294B88A2}"/>
    <hyperlink ref="J13" r:id="rId12" xr:uid="{56423A6F-D114-C442-A935-42D481FB2470}"/>
    <hyperlink ref="J14" r:id="rId13" xr:uid="{C6345B83-EE94-6143-9879-7FE3F6FC6329}"/>
    <hyperlink ref="J15" r:id="rId14" xr:uid="{BB055825-2901-0047-898B-78E97DEC68DB}"/>
    <hyperlink ref="J16" r:id="rId15" xr:uid="{631B7218-29B4-D94A-85E7-FDC06B4AE3A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611-AAD9-8C4D-985E-D13158C3F9FF}">
  <dimension ref="A1:Q69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L49" sqref="L49:O49"/>
    </sheetView>
  </sheetViews>
  <sheetFormatPr baseColWidth="10" defaultRowHeight="16" x14ac:dyDescent="0.2"/>
  <cols>
    <col min="1" max="1" width="10.83203125" style="2"/>
    <col min="2" max="2" width="22.5" customWidth="1"/>
    <col min="3" max="3" width="10.83203125" style="6"/>
    <col min="4" max="4" width="29" customWidth="1"/>
    <col min="5" max="5" width="10.83203125" style="7"/>
    <col min="6" max="6" width="31.5" customWidth="1"/>
    <col min="7" max="7" width="10.83203125" style="7"/>
    <col min="12" max="12" width="12.1640625" bestFit="1" customWidth="1"/>
    <col min="15" max="15" width="12.1640625" bestFit="1" customWidth="1"/>
  </cols>
  <sheetData>
    <row r="1" spans="1:17" s="1" customFormat="1" ht="56" customHeight="1" x14ac:dyDescent="0.2">
      <c r="B1" s="32" t="s">
        <v>130</v>
      </c>
      <c r="C1" s="12"/>
      <c r="D1" s="24" t="s">
        <v>126</v>
      </c>
      <c r="E1" s="12"/>
      <c r="F1" s="31" t="s">
        <v>164</v>
      </c>
      <c r="G1" s="12"/>
    </row>
    <row r="2" spans="1:17" s="15" customFormat="1" ht="34" customHeight="1" x14ac:dyDescent="0.2">
      <c r="B2" s="1" t="s">
        <v>26</v>
      </c>
      <c r="C2" s="19"/>
      <c r="D2" s="15" t="s">
        <v>98</v>
      </c>
      <c r="E2" s="19"/>
      <c r="F2" s="15" t="s">
        <v>98</v>
      </c>
      <c r="G2" s="19"/>
      <c r="I2" s="15" t="s">
        <v>232</v>
      </c>
      <c r="L2" s="67" t="s">
        <v>209</v>
      </c>
      <c r="M2" s="67"/>
      <c r="O2" s="15" t="s">
        <v>215</v>
      </c>
      <c r="Q2" s="15" t="s">
        <v>216</v>
      </c>
    </row>
    <row r="3" spans="1:17" s="1" customFormat="1" x14ac:dyDescent="0.2">
      <c r="A3" s="1" t="s">
        <v>52</v>
      </c>
      <c r="B3" s="1" t="s">
        <v>37</v>
      </c>
      <c r="C3" s="12"/>
      <c r="D3" s="1" t="s">
        <v>37</v>
      </c>
      <c r="E3" s="12"/>
      <c r="F3" s="1" t="s">
        <v>37</v>
      </c>
      <c r="G3" s="12"/>
    </row>
    <row r="4" spans="1:17" s="1" customFormat="1" x14ac:dyDescent="0.2">
      <c r="A4" s="1" t="s">
        <v>51</v>
      </c>
      <c r="B4" s="1" t="s">
        <v>172</v>
      </c>
      <c r="C4" s="12"/>
      <c r="D4" s="1" t="s">
        <v>13</v>
      </c>
      <c r="E4" s="12"/>
      <c r="F4" s="1" t="s">
        <v>13</v>
      </c>
      <c r="G4" s="12"/>
      <c r="L4" s="1" t="s">
        <v>210</v>
      </c>
      <c r="M4" s="1" t="s">
        <v>211</v>
      </c>
      <c r="O4" s="1" t="s">
        <v>217</v>
      </c>
    </row>
    <row r="5" spans="1:17" s="15" customFormat="1" ht="34" x14ac:dyDescent="0.2">
      <c r="A5" s="15" t="s">
        <v>90</v>
      </c>
      <c r="B5" s="1"/>
      <c r="C5" s="19"/>
      <c r="D5" s="15" t="s">
        <v>231</v>
      </c>
      <c r="E5" s="19"/>
      <c r="F5" s="15" t="s">
        <v>247</v>
      </c>
      <c r="G5" s="19"/>
      <c r="I5" s="15" t="s">
        <v>208</v>
      </c>
      <c r="L5" s="15" t="s">
        <v>212</v>
      </c>
      <c r="M5" s="15" t="s">
        <v>212</v>
      </c>
      <c r="O5" s="15" t="s">
        <v>218</v>
      </c>
      <c r="Q5" s="15" t="s">
        <v>219</v>
      </c>
    </row>
    <row r="6" spans="1:17" x14ac:dyDescent="0.2">
      <c r="A6" s="2">
        <v>1990</v>
      </c>
      <c r="B6">
        <v>0</v>
      </c>
      <c r="C6" s="7"/>
    </row>
    <row r="7" spans="1:17" x14ac:dyDescent="0.2">
      <c r="A7" s="2">
        <v>1991</v>
      </c>
      <c r="C7" s="7"/>
    </row>
    <row r="8" spans="1:17" x14ac:dyDescent="0.2">
      <c r="A8" s="2">
        <v>1992</v>
      </c>
      <c r="C8" s="7"/>
    </row>
    <row r="9" spans="1:17" x14ac:dyDescent="0.2">
      <c r="A9" s="2">
        <v>1993</v>
      </c>
      <c r="C9" s="7"/>
    </row>
    <row r="10" spans="1:17" x14ac:dyDescent="0.2">
      <c r="A10" s="2">
        <v>1994</v>
      </c>
      <c r="C10" s="7"/>
    </row>
    <row r="11" spans="1:17" x14ac:dyDescent="0.2">
      <c r="A11" s="2">
        <v>1995</v>
      </c>
      <c r="C11" s="7"/>
    </row>
    <row r="12" spans="1:17" x14ac:dyDescent="0.2">
      <c r="A12" s="2">
        <v>1996</v>
      </c>
      <c r="C12" s="7"/>
    </row>
    <row r="13" spans="1:17" x14ac:dyDescent="0.2">
      <c r="A13" s="2">
        <v>1997</v>
      </c>
      <c r="C13" s="7"/>
    </row>
    <row r="14" spans="1:17" x14ac:dyDescent="0.2">
      <c r="A14" s="2">
        <v>1998</v>
      </c>
      <c r="C14" s="7"/>
    </row>
    <row r="15" spans="1:17" x14ac:dyDescent="0.2">
      <c r="A15" s="2">
        <v>1999</v>
      </c>
      <c r="C15" s="7"/>
    </row>
    <row r="16" spans="1:17" x14ac:dyDescent="0.2">
      <c r="A16" s="2">
        <v>2000</v>
      </c>
      <c r="C16" s="7"/>
    </row>
    <row r="17" spans="1:9" x14ac:dyDescent="0.2">
      <c r="A17" s="2">
        <v>2001</v>
      </c>
      <c r="C17" s="7"/>
    </row>
    <row r="18" spans="1:9" x14ac:dyDescent="0.2">
      <c r="A18" s="2">
        <v>2002</v>
      </c>
      <c r="C18" s="7"/>
    </row>
    <row r="19" spans="1:9" x14ac:dyDescent="0.2">
      <c r="A19" s="2">
        <v>2003</v>
      </c>
      <c r="C19" s="7"/>
    </row>
    <row r="20" spans="1:9" x14ac:dyDescent="0.2">
      <c r="A20" s="2">
        <v>2004</v>
      </c>
      <c r="C20" s="7"/>
    </row>
    <row r="21" spans="1:9" x14ac:dyDescent="0.2">
      <c r="A21" s="2">
        <v>2005</v>
      </c>
      <c r="C21" s="7"/>
    </row>
    <row r="22" spans="1:9" x14ac:dyDescent="0.2">
      <c r="A22" s="2">
        <v>2006</v>
      </c>
      <c r="C22" s="7"/>
    </row>
    <row r="23" spans="1:9" x14ac:dyDescent="0.2">
      <c r="A23" s="2">
        <v>2007</v>
      </c>
      <c r="C23" s="7"/>
    </row>
    <row r="24" spans="1:9" x14ac:dyDescent="0.2">
      <c r="A24" s="2">
        <v>2008</v>
      </c>
      <c r="C24" s="7"/>
    </row>
    <row r="25" spans="1:9" x14ac:dyDescent="0.2">
      <c r="A25" s="2">
        <v>2009</v>
      </c>
      <c r="C25" s="7"/>
    </row>
    <row r="26" spans="1:9" x14ac:dyDescent="0.2">
      <c r="A26" s="2">
        <v>2010</v>
      </c>
      <c r="C26" s="7"/>
    </row>
    <row r="27" spans="1:9" x14ac:dyDescent="0.2">
      <c r="A27" s="2">
        <v>2011</v>
      </c>
      <c r="C27" s="7"/>
    </row>
    <row r="28" spans="1:9" x14ac:dyDescent="0.2">
      <c r="A28" s="2">
        <v>2012</v>
      </c>
      <c r="C28" s="7"/>
    </row>
    <row r="29" spans="1:9" x14ac:dyDescent="0.2">
      <c r="A29" s="2">
        <v>2013</v>
      </c>
      <c r="C29" s="7"/>
    </row>
    <row r="30" spans="1:9" x14ac:dyDescent="0.2">
      <c r="A30" s="2">
        <v>2014</v>
      </c>
      <c r="C30" s="7"/>
    </row>
    <row r="31" spans="1:9" x14ac:dyDescent="0.2">
      <c r="A31" s="2">
        <v>2015</v>
      </c>
      <c r="C31" s="7"/>
      <c r="D31">
        <f>I31</f>
        <v>6000000</v>
      </c>
      <c r="I31">
        <v>6000000</v>
      </c>
    </row>
    <row r="32" spans="1:9" x14ac:dyDescent="0.2">
      <c r="A32" s="2">
        <v>2016</v>
      </c>
      <c r="C32" s="7"/>
    </row>
    <row r="33" spans="1:17" x14ac:dyDescent="0.2">
      <c r="A33" s="2">
        <v>2017</v>
      </c>
      <c r="C33" s="7"/>
    </row>
    <row r="34" spans="1:17" x14ac:dyDescent="0.2">
      <c r="A34" s="2">
        <v>2018</v>
      </c>
      <c r="C34" s="7"/>
      <c r="F34">
        <f>Q34*1000000</f>
        <v>62792.668635848589</v>
      </c>
      <c r="L34">
        <v>2539.7071846099998</v>
      </c>
      <c r="M34">
        <v>1647.5563581636</v>
      </c>
      <c r="O34">
        <v>66683.955846130004</v>
      </c>
      <c r="Q34">
        <f>SUM(L34:M34)/O34</f>
        <v>6.2792668635848592E-2</v>
      </c>
    </row>
    <row r="35" spans="1:17" x14ac:dyDescent="0.2">
      <c r="A35" s="2">
        <v>2019</v>
      </c>
      <c r="C35" s="7"/>
      <c r="F35">
        <f t="shared" ref="F35:F38" si="0">Q35*1000000</f>
        <v>63267.599639257292</v>
      </c>
      <c r="L35">
        <v>2600.5579223899999</v>
      </c>
      <c r="M35">
        <v>1711.2735229775001</v>
      </c>
      <c r="O35">
        <v>68152.284422879005</v>
      </c>
      <c r="Q35">
        <f t="shared" ref="Q35:Q38" si="1">SUM(L35:M35)/O35</f>
        <v>6.3267599639257294E-2</v>
      </c>
    </row>
    <row r="36" spans="1:17" x14ac:dyDescent="0.2">
      <c r="A36" s="2">
        <v>2020</v>
      </c>
      <c r="C36" s="7"/>
      <c r="F36">
        <f t="shared" si="0"/>
        <v>64172.626749225135</v>
      </c>
      <c r="L36">
        <v>2451</v>
      </c>
      <c r="M36">
        <v>1754</v>
      </c>
      <c r="O36">
        <v>65526.381153640003</v>
      </c>
      <c r="Q36">
        <f t="shared" si="1"/>
        <v>6.4172626749225137E-2</v>
      </c>
    </row>
    <row r="37" spans="1:17" x14ac:dyDescent="0.2">
      <c r="A37" s="2">
        <v>2021</v>
      </c>
      <c r="C37" s="7"/>
      <c r="F37">
        <f t="shared" si="0"/>
        <v>60425.139644398303</v>
      </c>
      <c r="L37">
        <v>2414</v>
      </c>
      <c r="M37">
        <v>1791</v>
      </c>
      <c r="O37">
        <v>69590.240498348998</v>
      </c>
      <c r="Q37">
        <f t="shared" si="1"/>
        <v>6.0425139644398301E-2</v>
      </c>
    </row>
    <row r="38" spans="1:17" x14ac:dyDescent="0.2">
      <c r="A38" s="2">
        <v>2022</v>
      </c>
      <c r="C38" s="7"/>
      <c r="F38">
        <f t="shared" si="0"/>
        <v>62230.982503171967</v>
      </c>
      <c r="L38">
        <v>2669</v>
      </c>
      <c r="M38">
        <v>1832</v>
      </c>
      <c r="O38">
        <v>72327.317020433999</v>
      </c>
      <c r="Q38">
        <f t="shared" si="1"/>
        <v>6.2230982503171967E-2</v>
      </c>
    </row>
    <row r="39" spans="1:17" ht="37" customHeight="1" x14ac:dyDescent="0.2">
      <c r="A39" s="4"/>
      <c r="C39" s="7"/>
    </row>
    <row r="40" spans="1:17" x14ac:dyDescent="0.2">
      <c r="A40" s="2" t="s">
        <v>40</v>
      </c>
      <c r="C40" s="7"/>
    </row>
    <row r="41" spans="1:17" x14ac:dyDescent="0.2">
      <c r="C41" s="7"/>
    </row>
    <row r="42" spans="1:17" x14ac:dyDescent="0.2">
      <c r="A42" s="2" t="s">
        <v>85</v>
      </c>
      <c r="C42" s="7"/>
    </row>
    <row r="43" spans="1:17" x14ac:dyDescent="0.2">
      <c r="A43" s="2" t="s">
        <v>86</v>
      </c>
      <c r="C43" s="7"/>
    </row>
    <row r="44" spans="1:17" x14ac:dyDescent="0.2">
      <c r="A44" s="2" t="s">
        <v>95</v>
      </c>
      <c r="C44" s="7"/>
    </row>
    <row r="45" spans="1:17" x14ac:dyDescent="0.2">
      <c r="A45" s="2" t="s">
        <v>96</v>
      </c>
      <c r="C45" s="7"/>
    </row>
    <row r="46" spans="1:17" x14ac:dyDescent="0.2">
      <c r="A46" s="2" t="s">
        <v>97</v>
      </c>
      <c r="C46" s="7"/>
    </row>
    <row r="47" spans="1:17" x14ac:dyDescent="0.2">
      <c r="C47" s="7"/>
    </row>
    <row r="48" spans="1:17" x14ac:dyDescent="0.2">
      <c r="A48" s="2" t="s">
        <v>6</v>
      </c>
      <c r="B48" t="s">
        <v>137</v>
      </c>
      <c r="C48" s="7"/>
      <c r="D48" t="s">
        <v>206</v>
      </c>
      <c r="F48" s="18" t="str">
        <f>L48</f>
        <v>SBB Statistics portal</v>
      </c>
      <c r="I48" t="s">
        <v>233</v>
      </c>
      <c r="L48" s="70" t="s">
        <v>213</v>
      </c>
      <c r="M48" s="70"/>
      <c r="N48" s="70"/>
      <c r="O48" s="70"/>
    </row>
    <row r="49" spans="1:15" x14ac:dyDescent="0.2">
      <c r="A49" s="2" t="s">
        <v>7</v>
      </c>
      <c r="B49" t="s">
        <v>136</v>
      </c>
      <c r="C49" s="7"/>
      <c r="D49" s="3" t="s">
        <v>207</v>
      </c>
      <c r="F49" s="18" t="str">
        <f>L49</f>
        <v>https://reporting.sbb.ch/?=&amp;scroll=0</v>
      </c>
      <c r="I49" s="3" t="s">
        <v>234</v>
      </c>
      <c r="L49" s="79" t="s">
        <v>214</v>
      </c>
      <c r="M49" s="70"/>
      <c r="N49" s="70"/>
      <c r="O49" s="70"/>
    </row>
    <row r="50" spans="1:15" x14ac:dyDescent="0.2">
      <c r="C50" s="7"/>
    </row>
    <row r="51" spans="1:15" x14ac:dyDescent="0.2">
      <c r="A51"/>
      <c r="C51" s="7"/>
    </row>
    <row r="52" spans="1:15" x14ac:dyDescent="0.2">
      <c r="A52"/>
      <c r="C52" s="7"/>
    </row>
    <row r="53" spans="1:15" x14ac:dyDescent="0.2">
      <c r="A53"/>
      <c r="C53" s="7"/>
    </row>
    <row r="54" spans="1:15" x14ac:dyDescent="0.2">
      <c r="A54"/>
      <c r="C54" s="7"/>
    </row>
    <row r="55" spans="1:15" x14ac:dyDescent="0.2">
      <c r="A55"/>
      <c r="C55" s="7"/>
    </row>
    <row r="56" spans="1:15" x14ac:dyDescent="0.2">
      <c r="A56"/>
      <c r="C56" s="7"/>
    </row>
    <row r="57" spans="1:15" x14ac:dyDescent="0.2">
      <c r="A57"/>
      <c r="C57" s="7"/>
    </row>
    <row r="58" spans="1:15" x14ac:dyDescent="0.2">
      <c r="A58"/>
      <c r="C58" s="7"/>
    </row>
    <row r="59" spans="1:15" x14ac:dyDescent="0.2">
      <c r="A59"/>
      <c r="C59" s="7"/>
    </row>
    <row r="60" spans="1:15" x14ac:dyDescent="0.2">
      <c r="A60"/>
      <c r="C60" s="7"/>
    </row>
    <row r="61" spans="1:15" x14ac:dyDescent="0.2">
      <c r="A61"/>
      <c r="C61" s="7"/>
    </row>
    <row r="62" spans="1:15" x14ac:dyDescent="0.2">
      <c r="A62"/>
      <c r="C62" s="7"/>
    </row>
    <row r="63" spans="1:15" x14ac:dyDescent="0.2">
      <c r="A63"/>
      <c r="C63" s="7"/>
    </row>
    <row r="64" spans="1:15" x14ac:dyDescent="0.2">
      <c r="A64"/>
      <c r="C64" s="7"/>
    </row>
    <row r="65" spans="3:7" customFormat="1" x14ac:dyDescent="0.2">
      <c r="C65" s="7"/>
      <c r="E65" s="7"/>
      <c r="G65" s="7"/>
    </row>
    <row r="66" spans="3:7" customFormat="1" x14ac:dyDescent="0.2">
      <c r="C66" s="7"/>
      <c r="E66" s="7"/>
      <c r="G66" s="7"/>
    </row>
    <row r="67" spans="3:7" customFormat="1" x14ac:dyDescent="0.2">
      <c r="C67" s="7"/>
      <c r="E67" s="7"/>
      <c r="G67" s="7"/>
    </row>
    <row r="68" spans="3:7" customFormat="1" x14ac:dyDescent="0.2">
      <c r="C68" s="7"/>
      <c r="E68" s="7"/>
      <c r="G68" s="7"/>
    </row>
    <row r="69" spans="3:7" customFormat="1" x14ac:dyDescent="0.2">
      <c r="C69" s="7"/>
      <c r="E69" s="7"/>
      <c r="G69" s="7"/>
    </row>
  </sheetData>
  <mergeCells count="3">
    <mergeCell ref="L48:O48"/>
    <mergeCell ref="L49:O49"/>
    <mergeCell ref="L2:M2"/>
  </mergeCells>
  <hyperlinks>
    <hyperlink ref="D49" r:id="rId1" xr:uid="{1CA845CB-9DC4-DB4A-A7EE-6C482DD11A54}"/>
    <hyperlink ref="L49" r:id="rId2" xr:uid="{D6D5027E-1115-8342-B7F4-7F2922063CA1}"/>
    <hyperlink ref="I49" r:id="rId3" xr:uid="{786AC679-082A-814C-B7B3-1801045F849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1FF-E0F9-F341-934A-771EA7544CC7}">
  <dimension ref="A1:Q49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G49" sqref="G49:J49"/>
    </sheetView>
  </sheetViews>
  <sheetFormatPr baseColWidth="10" defaultRowHeight="16" x14ac:dyDescent="0.2"/>
  <cols>
    <col min="1" max="1" width="10.83203125" style="2"/>
    <col min="2" max="2" width="24.33203125" customWidth="1"/>
    <col min="3" max="3" width="10.83203125" style="7"/>
    <col min="4" max="4" width="20" customWidth="1"/>
    <col min="5" max="5" width="10.83203125" style="7"/>
  </cols>
  <sheetData>
    <row r="1" spans="1:17" s="11" customFormat="1" ht="65" customHeight="1" x14ac:dyDescent="0.2">
      <c r="B1" s="31" t="s">
        <v>197</v>
      </c>
      <c r="C1" s="16"/>
      <c r="D1" s="32" t="s">
        <v>198</v>
      </c>
      <c r="E1" s="16"/>
      <c r="G1" s="90" t="s">
        <v>197</v>
      </c>
      <c r="H1" s="91"/>
      <c r="I1" s="91"/>
      <c r="J1" s="92"/>
      <c r="N1" s="94" t="s">
        <v>236</v>
      </c>
      <c r="O1" s="94"/>
      <c r="P1" s="94"/>
      <c r="Q1" s="94"/>
    </row>
    <row r="2" spans="1:17" s="2" customFormat="1" x14ac:dyDescent="0.2">
      <c r="B2" s="1" t="s">
        <v>26</v>
      </c>
      <c r="C2" s="6"/>
      <c r="D2" s="1" t="s">
        <v>26</v>
      </c>
      <c r="E2" s="6"/>
      <c r="G2" s="56" t="s">
        <v>225</v>
      </c>
      <c r="H2" s="56"/>
      <c r="I2" s="56"/>
      <c r="J2" s="56"/>
      <c r="O2" s="2" t="s">
        <v>193</v>
      </c>
    </row>
    <row r="3" spans="1:17" s="2" customFormat="1" x14ac:dyDescent="0.2">
      <c r="A3" s="2" t="s">
        <v>52</v>
      </c>
      <c r="B3" s="1" t="s">
        <v>171</v>
      </c>
      <c r="C3" s="6"/>
      <c r="D3" s="1" t="s">
        <v>171</v>
      </c>
      <c r="E3" s="6"/>
      <c r="G3" s="2" t="s">
        <v>171</v>
      </c>
      <c r="H3" s="2" t="s">
        <v>171</v>
      </c>
      <c r="I3" s="2" t="s">
        <v>171</v>
      </c>
      <c r="J3" s="2" t="s">
        <v>171</v>
      </c>
      <c r="O3" s="2" t="s">
        <v>171</v>
      </c>
    </row>
    <row r="4" spans="1:17" s="2" customFormat="1" x14ac:dyDescent="0.2">
      <c r="A4" s="2" t="s">
        <v>51</v>
      </c>
      <c r="B4" s="1" t="s">
        <v>172</v>
      </c>
      <c r="C4" s="12"/>
      <c r="D4" s="1" t="s">
        <v>172</v>
      </c>
      <c r="E4" s="6"/>
      <c r="G4" s="1" t="s">
        <v>172</v>
      </c>
      <c r="H4" s="1" t="s">
        <v>172</v>
      </c>
      <c r="I4" s="1" t="s">
        <v>172</v>
      </c>
      <c r="J4" s="1" t="s">
        <v>172</v>
      </c>
      <c r="O4" s="2" t="s">
        <v>172</v>
      </c>
    </row>
    <row r="5" spans="1:17" s="11" customFormat="1" ht="17" x14ac:dyDescent="0.2">
      <c r="B5" s="11" t="s">
        <v>230</v>
      </c>
      <c r="C5" s="16"/>
      <c r="D5" s="11" t="s">
        <v>235</v>
      </c>
      <c r="E5" s="16"/>
      <c r="G5" t="s">
        <v>222</v>
      </c>
      <c r="H5" t="s">
        <v>223</v>
      </c>
      <c r="I5" t="s">
        <v>224</v>
      </c>
      <c r="J5" t="s">
        <v>229</v>
      </c>
      <c r="L5" s="11" t="s">
        <v>228</v>
      </c>
      <c r="N5" s="11" t="s">
        <v>176</v>
      </c>
      <c r="O5" s="11" t="s">
        <v>101</v>
      </c>
      <c r="Q5" s="11" t="s">
        <v>108</v>
      </c>
    </row>
    <row r="6" spans="1:17" x14ac:dyDescent="0.2">
      <c r="A6">
        <v>1990</v>
      </c>
      <c r="B6">
        <f>J6^-1</f>
        <v>5.5102001744237086</v>
      </c>
      <c r="D6">
        <f>Q6</f>
        <v>0.25444547023642278</v>
      </c>
      <c r="G6">
        <f>1.914</f>
        <v>1.9139999999999999</v>
      </c>
      <c r="H6">
        <v>34.200000000000003</v>
      </c>
      <c r="I6">
        <f>G6*H6</f>
        <v>65.458799999999997</v>
      </c>
      <c r="J6">
        <f>(I6/L6)</f>
        <v>0.18148161016756278</v>
      </c>
      <c r="L6">
        <f>'Rail.Act'!N40</f>
        <v>360.69109117756665</v>
      </c>
      <c r="N6">
        <f>'Rail.Act'!S6</f>
        <v>49826</v>
      </c>
      <c r="O6">
        <v>12678</v>
      </c>
      <c r="Q6">
        <f>O6/N6</f>
        <v>0.25444547023642278</v>
      </c>
    </row>
    <row r="7" spans="1:17" x14ac:dyDescent="0.2">
      <c r="A7">
        <v>1991</v>
      </c>
      <c r="D7">
        <f t="shared" ref="D7:D37" si="0">Q7</f>
        <v>0.28614569974765236</v>
      </c>
      <c r="N7">
        <f>'Rail.Act'!S7</f>
        <v>48346</v>
      </c>
      <c r="O7">
        <v>13834</v>
      </c>
      <c r="Q7">
        <f t="shared" ref="Q7:Q37" si="1">O7/N7</f>
        <v>0.28614569974765236</v>
      </c>
    </row>
    <row r="8" spans="1:17" x14ac:dyDescent="0.2">
      <c r="A8">
        <v>1992</v>
      </c>
      <c r="D8">
        <f t="shared" si="0"/>
        <v>0.27108730451914786</v>
      </c>
      <c r="N8">
        <f>'Rail.Act'!S8</f>
        <v>48726</v>
      </c>
      <c r="O8">
        <v>13209</v>
      </c>
      <c r="Q8">
        <f t="shared" si="1"/>
        <v>0.27108730451914786</v>
      </c>
    </row>
    <row r="9" spans="1:17" x14ac:dyDescent="0.2">
      <c r="A9">
        <v>1993</v>
      </c>
      <c r="D9">
        <f t="shared" si="0"/>
        <v>0.27507398881946726</v>
      </c>
      <c r="N9">
        <f>'Rail.Act'!S9</f>
        <v>48656</v>
      </c>
      <c r="O9">
        <v>13384</v>
      </c>
      <c r="Q9">
        <f t="shared" si="1"/>
        <v>0.27507398881946726</v>
      </c>
    </row>
    <row r="10" spans="1:17" x14ac:dyDescent="0.2">
      <c r="A10">
        <v>1994</v>
      </c>
      <c r="D10">
        <f t="shared" si="0"/>
        <v>0.28705394190871369</v>
      </c>
      <c r="N10">
        <f>'Rail.Act'!S10</f>
        <v>48200</v>
      </c>
      <c r="O10">
        <v>13836</v>
      </c>
      <c r="Q10">
        <f t="shared" si="1"/>
        <v>0.28705394190871369</v>
      </c>
    </row>
    <row r="11" spans="1:17" x14ac:dyDescent="0.2">
      <c r="A11">
        <v>1995</v>
      </c>
      <c r="D11">
        <f t="shared" si="0"/>
        <v>0.24263076126359398</v>
      </c>
      <c r="N11">
        <f>'Rail.Act'!S11</f>
        <v>48275</v>
      </c>
      <c r="O11">
        <v>11713</v>
      </c>
      <c r="Q11">
        <f t="shared" si="1"/>
        <v>0.24263076126359398</v>
      </c>
    </row>
    <row r="12" spans="1:17" x14ac:dyDescent="0.2">
      <c r="A12">
        <v>1996</v>
      </c>
      <c r="D12">
        <f t="shared" si="0"/>
        <v>0.25323993754590052</v>
      </c>
      <c r="N12">
        <f>'Rail.Act'!S12</f>
        <v>46951.520029675026</v>
      </c>
      <c r="O12">
        <v>11890</v>
      </c>
      <c r="Q12">
        <f t="shared" si="1"/>
        <v>0.25323993754590052</v>
      </c>
    </row>
    <row r="13" spans="1:17" x14ac:dyDescent="0.2">
      <c r="A13">
        <v>1997</v>
      </c>
      <c r="D13">
        <f t="shared" si="0"/>
        <v>0.25340630614268367</v>
      </c>
      <c r="N13">
        <f>'Rail.Act'!S13</f>
        <v>47556.038298488631</v>
      </c>
      <c r="O13">
        <v>12051</v>
      </c>
      <c r="Q13">
        <f t="shared" si="1"/>
        <v>0.25340630614268367</v>
      </c>
    </row>
    <row r="14" spans="1:17" x14ac:dyDescent="0.2">
      <c r="A14">
        <v>1998</v>
      </c>
      <c r="D14">
        <f t="shared" si="0"/>
        <v>0.24686136265406308</v>
      </c>
      <c r="N14">
        <f>'Rail.Act'!S14</f>
        <v>49209.806951537772</v>
      </c>
      <c r="O14">
        <v>12148</v>
      </c>
      <c r="Q14">
        <f t="shared" si="1"/>
        <v>0.24686136265406308</v>
      </c>
    </row>
    <row r="15" spans="1:17" x14ac:dyDescent="0.2">
      <c r="A15">
        <v>1999</v>
      </c>
      <c r="D15">
        <f t="shared" si="0"/>
        <v>0.25360719308639562</v>
      </c>
      <c r="N15">
        <f>'Rail.Act'!S15</f>
        <v>49292.765902508618</v>
      </c>
      <c r="O15">
        <v>12501</v>
      </c>
      <c r="Q15">
        <f t="shared" si="1"/>
        <v>0.25360719308639562</v>
      </c>
    </row>
    <row r="16" spans="1:17" x14ac:dyDescent="0.2">
      <c r="A16">
        <v>2000</v>
      </c>
      <c r="D16">
        <f t="shared" si="0"/>
        <v>0.24868783176176329</v>
      </c>
      <c r="N16">
        <f>'Rail.Act'!S16</f>
        <v>50746.350999954208</v>
      </c>
      <c r="O16">
        <v>12620</v>
      </c>
      <c r="Q16">
        <f t="shared" si="1"/>
        <v>0.24868783176176329</v>
      </c>
    </row>
    <row r="17" spans="1:17" x14ac:dyDescent="0.2">
      <c r="A17">
        <v>2001</v>
      </c>
      <c r="D17">
        <f t="shared" si="0"/>
        <v>0.25559288749914466</v>
      </c>
      <c r="N17">
        <f>'Rail.Act'!S17</f>
        <v>52039.789252916955</v>
      </c>
      <c r="O17">
        <v>13301</v>
      </c>
      <c r="Q17">
        <f t="shared" si="1"/>
        <v>0.25559288749914466</v>
      </c>
    </row>
    <row r="18" spans="1:17" x14ac:dyDescent="0.2">
      <c r="A18">
        <v>2002</v>
      </c>
      <c r="D18">
        <f>Q18</f>
        <v>0.26527112850807083</v>
      </c>
      <c r="N18">
        <f>'Rail.Act'!S18</f>
        <v>53330.341977150296</v>
      </c>
      <c r="O18">
        <v>14147</v>
      </c>
      <c r="Q18">
        <f t="shared" si="1"/>
        <v>0.26527112850807083</v>
      </c>
    </row>
    <row r="19" spans="1:17" x14ac:dyDescent="0.2">
      <c r="A19">
        <v>2003</v>
      </c>
      <c r="D19">
        <f t="shared" si="0"/>
        <v>0.27322504240553408</v>
      </c>
      <c r="N19">
        <f>'Rail.Act'!S19</f>
        <v>53102.74589861725</v>
      </c>
      <c r="O19">
        <v>14509</v>
      </c>
      <c r="Q19">
        <f t="shared" si="1"/>
        <v>0.27322504240553408</v>
      </c>
    </row>
    <row r="20" spans="1:17" x14ac:dyDescent="0.2">
      <c r="A20">
        <v>2004</v>
      </c>
      <c r="D20">
        <f t="shared" si="0"/>
        <v>0.27436648648800954</v>
      </c>
      <c r="N20">
        <f>'Rail.Act'!S20</f>
        <v>54357.950895915186</v>
      </c>
      <c r="O20">
        <v>14914</v>
      </c>
      <c r="Q20">
        <f t="shared" si="1"/>
        <v>0.27436648648800954</v>
      </c>
    </row>
    <row r="21" spans="1:17" x14ac:dyDescent="0.2">
      <c r="A21" s="2">
        <v>2005</v>
      </c>
      <c r="D21">
        <f t="shared" si="0"/>
        <v>0.27355831902458089</v>
      </c>
      <c r="N21">
        <f>'Rail.Act'!S21</f>
        <v>59014.472883017574</v>
      </c>
      <c r="O21">
        <v>16143.9</v>
      </c>
      <c r="Q21">
        <f t="shared" si="1"/>
        <v>0.27355831902458089</v>
      </c>
    </row>
    <row r="22" spans="1:17" x14ac:dyDescent="0.2">
      <c r="A22" s="2">
        <v>2006</v>
      </c>
      <c r="D22">
        <f t="shared" si="0"/>
        <v>0.27754522979930452</v>
      </c>
      <c r="N22">
        <f>'Rail.Act'!S22</f>
        <v>59730.444699005035</v>
      </c>
      <c r="O22">
        <v>16577.900000000001</v>
      </c>
      <c r="Q22">
        <f t="shared" si="1"/>
        <v>0.27754522979930452</v>
      </c>
    </row>
    <row r="23" spans="1:17" x14ac:dyDescent="0.2">
      <c r="A23" s="2">
        <v>2007</v>
      </c>
      <c r="D23">
        <f t="shared" si="0"/>
        <v>0.28651610228195418</v>
      </c>
      <c r="N23">
        <f>'Rail.Act'!S23</f>
        <v>60848.587081655489</v>
      </c>
      <c r="O23">
        <v>17434.099999999999</v>
      </c>
      <c r="Q23">
        <f t="shared" si="1"/>
        <v>0.28651610228195418</v>
      </c>
    </row>
    <row r="24" spans="1:17" x14ac:dyDescent="0.2">
      <c r="A24" s="2">
        <v>2008</v>
      </c>
      <c r="D24">
        <f t="shared" si="0"/>
        <v>0.28685554576894418</v>
      </c>
      <c r="N24">
        <f>'Rail.Act'!S24</f>
        <v>61966.729464305958</v>
      </c>
      <c r="O24">
        <v>17775.5</v>
      </c>
      <c r="Q24">
        <f t="shared" si="1"/>
        <v>0.28685554576894418</v>
      </c>
    </row>
    <row r="25" spans="1:17" x14ac:dyDescent="0.2">
      <c r="A25" s="2">
        <v>2009</v>
      </c>
      <c r="D25">
        <f t="shared" si="0"/>
        <v>0.28461271076687139</v>
      </c>
      <c r="N25">
        <f>'Rail.Act'!S25</f>
        <v>65249.018394021812</v>
      </c>
      <c r="O25">
        <v>18570.7</v>
      </c>
      <c r="Q25">
        <f t="shared" si="1"/>
        <v>0.28461271076687139</v>
      </c>
    </row>
    <row r="26" spans="1:17" x14ac:dyDescent="0.2">
      <c r="A26" s="2">
        <v>2010</v>
      </c>
      <c r="D26">
        <f t="shared" si="0"/>
        <v>0.28989242184272657</v>
      </c>
      <c r="N26">
        <f>'Rail.Act'!S26</f>
        <v>66150.746121965727</v>
      </c>
      <c r="O26">
        <v>19176.599999999999</v>
      </c>
      <c r="Q26">
        <f t="shared" si="1"/>
        <v>0.28989242184272657</v>
      </c>
    </row>
    <row r="27" spans="1:17" x14ac:dyDescent="0.2">
      <c r="A27" s="2">
        <v>2011</v>
      </c>
      <c r="D27">
        <f t="shared" si="0"/>
        <v>0.29531504402480913</v>
      </c>
      <c r="N27">
        <f>'Rail.Act'!S27</f>
        <v>65934.33146725918</v>
      </c>
      <c r="O27">
        <v>19471.400000000001</v>
      </c>
      <c r="Q27">
        <f t="shared" si="1"/>
        <v>0.29531504402480913</v>
      </c>
    </row>
    <row r="28" spans="1:17" x14ac:dyDescent="0.2">
      <c r="A28" s="2">
        <v>2012</v>
      </c>
      <c r="D28">
        <f t="shared" si="0"/>
        <v>0.28835932423307986</v>
      </c>
      <c r="N28">
        <f>'Rail.Act'!S28</f>
        <v>66799.990086085338</v>
      </c>
      <c r="O28">
        <v>19262.400000000001</v>
      </c>
      <c r="Q28">
        <f t="shared" si="1"/>
        <v>0.28835932423307986</v>
      </c>
    </row>
    <row r="29" spans="1:17" x14ac:dyDescent="0.2">
      <c r="A29" s="2">
        <v>2013</v>
      </c>
      <c r="D29">
        <f t="shared" si="0"/>
        <v>0.2870952961906495</v>
      </c>
      <c r="N29">
        <f>'Rail.Act'!S29</f>
        <v>67737.786923147025</v>
      </c>
      <c r="O29">
        <v>19447.2</v>
      </c>
      <c r="Q29">
        <f t="shared" si="1"/>
        <v>0.2870952961906495</v>
      </c>
    </row>
    <row r="30" spans="1:17" x14ac:dyDescent="0.2">
      <c r="A30" s="2">
        <v>2014</v>
      </c>
      <c r="D30">
        <f t="shared" si="0"/>
        <v>0.28924603269983234</v>
      </c>
      <c r="N30">
        <f>'Rail.Act'!S30</f>
        <v>69180.551287857292</v>
      </c>
      <c r="O30">
        <v>20010.2</v>
      </c>
      <c r="Q30">
        <f t="shared" si="1"/>
        <v>0.28924603269983234</v>
      </c>
    </row>
    <row r="31" spans="1:17" x14ac:dyDescent="0.2">
      <c r="A31" s="2">
        <v>2015</v>
      </c>
      <c r="D31">
        <f t="shared" si="0"/>
        <v>0.29123352371131001</v>
      </c>
      <c r="N31">
        <f>'Rail.Act'!S31</f>
        <v>70010.140797565691</v>
      </c>
      <c r="O31">
        <v>20389.3</v>
      </c>
      <c r="Q31">
        <f t="shared" si="1"/>
        <v>0.29123352371131001</v>
      </c>
    </row>
    <row r="32" spans="1:17" x14ac:dyDescent="0.2">
      <c r="A32" s="2">
        <v>2016</v>
      </c>
      <c r="D32">
        <f t="shared" si="0"/>
        <v>0.28951502204093704</v>
      </c>
      <c r="N32">
        <f>'Rail.Act'!S32</f>
        <v>71885.734471689037</v>
      </c>
      <c r="O32">
        <v>20812</v>
      </c>
      <c r="Q32">
        <f t="shared" si="1"/>
        <v>0.28951502204093704</v>
      </c>
    </row>
    <row r="33" spans="1:17" x14ac:dyDescent="0.2">
      <c r="A33" s="2">
        <v>2017</v>
      </c>
      <c r="D33">
        <f t="shared" si="0"/>
        <v>0.29274239780656003</v>
      </c>
      <c r="N33">
        <f>'Rail.Act'!S33</f>
        <v>71272.559616687169</v>
      </c>
      <c r="O33">
        <v>20864.5</v>
      </c>
      <c r="Q33">
        <f t="shared" si="1"/>
        <v>0.29274239780656003</v>
      </c>
    </row>
    <row r="34" spans="1:17" x14ac:dyDescent="0.2">
      <c r="A34" s="2">
        <v>2018</v>
      </c>
      <c r="D34">
        <f t="shared" si="0"/>
        <v>0.28892126010112684</v>
      </c>
      <c r="N34">
        <f>'Rail.Act'!S34</f>
        <v>71344.697834922685</v>
      </c>
      <c r="O34">
        <v>20613</v>
      </c>
      <c r="Q34">
        <f t="shared" si="1"/>
        <v>0.28892126010112684</v>
      </c>
    </row>
    <row r="35" spans="1:17" x14ac:dyDescent="0.2">
      <c r="A35" s="2">
        <v>2019</v>
      </c>
      <c r="D35">
        <f t="shared" si="0"/>
        <v>0.29982520015645808</v>
      </c>
      <c r="N35">
        <f>'Rail.Act'!S35</f>
        <v>72498.909326690889</v>
      </c>
      <c r="O35">
        <v>21737</v>
      </c>
      <c r="Q35">
        <f t="shared" si="1"/>
        <v>0.29982520015645808</v>
      </c>
    </row>
    <row r="36" spans="1:17" x14ac:dyDescent="0.2">
      <c r="A36" s="2">
        <v>2020</v>
      </c>
      <c r="D36">
        <f t="shared" si="0"/>
        <v>0.18957908540586677</v>
      </c>
      <c r="N36">
        <f>'Rail.Act'!S36</f>
        <v>70334.762779625496</v>
      </c>
      <c r="O36">
        <v>13334</v>
      </c>
      <c r="Q36">
        <f t="shared" si="1"/>
        <v>0.18957908540586677</v>
      </c>
    </row>
    <row r="37" spans="1:17" x14ac:dyDescent="0.2">
      <c r="A37" s="2">
        <v>2021</v>
      </c>
      <c r="D37">
        <f t="shared" si="0"/>
        <v>0.19350386981656745</v>
      </c>
      <c r="N37">
        <f>'Rail.Act'!S37</f>
        <v>73941.673691401156</v>
      </c>
      <c r="O37">
        <v>14308</v>
      </c>
      <c r="Q37">
        <f t="shared" si="1"/>
        <v>0.19350386981656745</v>
      </c>
    </row>
    <row r="38" spans="1:17" x14ac:dyDescent="0.2">
      <c r="A38" s="2">
        <v>2022</v>
      </c>
    </row>
    <row r="39" spans="1:17" x14ac:dyDescent="0.2">
      <c r="A39" s="4"/>
    </row>
    <row r="40" spans="1:17" x14ac:dyDescent="0.2">
      <c r="A40" s="2" t="s">
        <v>40</v>
      </c>
      <c r="Q40">
        <f>AVERAGE(Q6:Q38)</f>
        <v>0.27015661650806694</v>
      </c>
    </row>
    <row r="42" spans="1:17" x14ac:dyDescent="0.2">
      <c r="A42" s="2" t="s">
        <v>85</v>
      </c>
      <c r="Q42">
        <f>_xlfn.VAR.S(Q6:Q37)</f>
        <v>6.9143893827600198E-4</v>
      </c>
    </row>
    <row r="43" spans="1:17" x14ac:dyDescent="0.2">
      <c r="A43" s="2" t="s">
        <v>86</v>
      </c>
      <c r="Q43">
        <f>STDEV(Q6:Q37)</f>
        <v>2.6295226530227915E-2</v>
      </c>
    </row>
    <row r="44" spans="1:17" x14ac:dyDescent="0.2">
      <c r="A44" s="2" t="s">
        <v>95</v>
      </c>
      <c r="Q44">
        <f>Q43/Q40</f>
        <v>9.7333268642867884E-2</v>
      </c>
    </row>
    <row r="45" spans="1:17" x14ac:dyDescent="0.2">
      <c r="A45" s="2" t="s">
        <v>96</v>
      </c>
      <c r="Q45">
        <f>AVEDEV(Q6:Q38)</f>
        <v>1.9681059229266478E-2</v>
      </c>
    </row>
    <row r="46" spans="1:17" x14ac:dyDescent="0.2">
      <c r="A46" s="2" t="s">
        <v>97</v>
      </c>
      <c r="Q46">
        <f>Q45/Q40</f>
        <v>7.2850554184664199E-2</v>
      </c>
    </row>
    <row r="48" spans="1:17" s="36" customFormat="1" ht="51" x14ac:dyDescent="0.2">
      <c r="A48" s="11" t="s">
        <v>6</v>
      </c>
      <c r="B48" s="21" t="s">
        <v>183</v>
      </c>
      <c r="C48" s="35"/>
      <c r="D48" s="36" t="s">
        <v>227</v>
      </c>
      <c r="E48" s="35"/>
      <c r="G48" s="69" t="s">
        <v>227</v>
      </c>
      <c r="H48" s="69"/>
      <c r="I48" s="69"/>
      <c r="J48" s="69"/>
    </row>
    <row r="49" spans="1:10" s="36" customFormat="1" ht="85" x14ac:dyDescent="0.2">
      <c r="A49" s="11" t="s">
        <v>7</v>
      </c>
      <c r="B49" s="21" t="s">
        <v>221</v>
      </c>
      <c r="C49" s="35"/>
      <c r="D49" s="37" t="s">
        <v>226</v>
      </c>
      <c r="E49" s="35"/>
      <c r="G49" s="93" t="s">
        <v>226</v>
      </c>
      <c r="H49" s="69"/>
      <c r="I49" s="69"/>
      <c r="J49" s="69"/>
    </row>
  </sheetData>
  <mergeCells count="5">
    <mergeCell ref="G2:J2"/>
    <mergeCell ref="G1:J1"/>
    <mergeCell ref="G48:J48"/>
    <mergeCell ref="G49:J49"/>
    <mergeCell ref="N1:Q1"/>
  </mergeCells>
  <hyperlinks>
    <hyperlink ref="G49" r:id="rId1" xr:uid="{EC7D70C6-E7CB-CE46-ABFA-F77AA9262E88}"/>
    <hyperlink ref="D49" r:id="rId2" xr:uid="{D124625A-E19E-914B-99FA-A41999AE338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D919-D49F-C148-9608-A085E130330B}">
  <dimension ref="A1:R44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K42" sqref="K42"/>
    </sheetView>
  </sheetViews>
  <sheetFormatPr baseColWidth="10" defaultRowHeight="16" x14ac:dyDescent="0.2"/>
  <cols>
    <col min="1" max="1" width="11.6640625" style="2" bestFit="1" customWidth="1"/>
    <col min="2" max="3" width="11.6640625" customWidth="1"/>
    <col min="4" max="4" width="11.6640625" style="7" customWidth="1"/>
    <col min="5" max="5" width="11.6640625" customWidth="1"/>
    <col min="6" max="6" width="11.6640625" style="2" customWidth="1"/>
    <col min="7" max="7" width="11.6640625" style="6" customWidth="1"/>
    <col min="10" max="10" width="10.83203125" style="7"/>
    <col min="13" max="13" width="10.83203125" style="7"/>
    <col min="16" max="16" width="10.83203125" style="7"/>
    <col min="17" max="17" width="12.6640625" bestFit="1" customWidth="1"/>
  </cols>
  <sheetData>
    <row r="1" spans="1:18" s="2" customFormat="1" ht="55" customHeight="1" x14ac:dyDescent="0.35">
      <c r="B1" s="82" t="s">
        <v>179</v>
      </c>
      <c r="C1" s="82"/>
      <c r="D1" s="6"/>
      <c r="E1" s="82" t="s">
        <v>199</v>
      </c>
      <c r="F1" s="82"/>
      <c r="G1" s="6"/>
      <c r="H1" s="82" t="s">
        <v>28</v>
      </c>
      <c r="I1" s="82"/>
      <c r="J1" s="6"/>
      <c r="K1" s="82" t="s">
        <v>46</v>
      </c>
      <c r="L1" s="82"/>
      <c r="M1" s="6"/>
      <c r="N1" s="82" t="s">
        <v>47</v>
      </c>
      <c r="O1" s="82"/>
      <c r="P1" s="6"/>
      <c r="Q1" s="95" t="s">
        <v>169</v>
      </c>
      <c r="R1" s="96"/>
    </row>
    <row r="2" spans="1:18" s="2" customFormat="1" x14ac:dyDescent="0.2">
      <c r="B2" s="56" t="s">
        <v>26</v>
      </c>
      <c r="C2" s="56"/>
      <c r="D2" s="6"/>
      <c r="E2" s="56" t="s">
        <v>26</v>
      </c>
      <c r="F2" s="56"/>
      <c r="G2" s="6"/>
      <c r="H2" s="56" t="s">
        <v>26</v>
      </c>
      <c r="I2" s="56"/>
      <c r="J2" s="6"/>
      <c r="K2" s="56" t="s">
        <v>26</v>
      </c>
      <c r="L2" s="56"/>
      <c r="M2" s="6"/>
      <c r="N2" s="56" t="s">
        <v>26</v>
      </c>
      <c r="O2" s="56"/>
      <c r="P2" s="6"/>
      <c r="Q2" s="56" t="s">
        <v>43</v>
      </c>
      <c r="R2" s="56"/>
    </row>
    <row r="3" spans="1:18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H3" s="56" t="s">
        <v>37</v>
      </c>
      <c r="I3" s="56"/>
      <c r="J3" s="6"/>
      <c r="K3" s="56" t="s">
        <v>37</v>
      </c>
      <c r="L3" s="56"/>
      <c r="M3" s="6"/>
      <c r="N3" s="56" t="s">
        <v>37</v>
      </c>
      <c r="O3" s="56"/>
      <c r="P3" s="6"/>
      <c r="Q3" s="56" t="s">
        <v>37</v>
      </c>
      <c r="R3" s="56"/>
    </row>
    <row r="4" spans="1:18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2" t="s">
        <v>203</v>
      </c>
      <c r="I4" s="2" t="s">
        <v>1</v>
      </c>
      <c r="J4" s="6"/>
      <c r="K4" s="2" t="s">
        <v>203</v>
      </c>
      <c r="L4" s="2" t="s">
        <v>1</v>
      </c>
      <c r="M4" s="6"/>
      <c r="N4" s="2" t="s">
        <v>203</v>
      </c>
      <c r="O4" s="2" t="s">
        <v>1</v>
      </c>
      <c r="P4" s="6"/>
      <c r="Q4" s="2" t="s">
        <v>0</v>
      </c>
      <c r="R4" s="2" t="s">
        <v>1</v>
      </c>
    </row>
    <row r="5" spans="1:18" s="2" customFormat="1" ht="17" x14ac:dyDescent="0.2">
      <c r="A5" s="11" t="s">
        <v>90</v>
      </c>
      <c r="B5" s="2" t="s">
        <v>200</v>
      </c>
      <c r="C5" s="2" t="s">
        <v>200</v>
      </c>
      <c r="D5" s="16"/>
      <c r="E5" s="2" t="s">
        <v>92</v>
      </c>
      <c r="F5" s="2" t="s">
        <v>92</v>
      </c>
      <c r="G5" s="1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</row>
    <row r="6" spans="1:18" x14ac:dyDescent="0.2">
      <c r="A6" s="2">
        <v>1990</v>
      </c>
      <c r="B6">
        <v>35</v>
      </c>
      <c r="C6">
        <v>18</v>
      </c>
      <c r="E6">
        <f>MAX(MAX(K6:K37)*1.2,100)</f>
        <v>100</v>
      </c>
      <c r="F6">
        <f>MAX(MAX(L6:L37)*1.2,100)</f>
        <v>100</v>
      </c>
      <c r="H6">
        <f t="shared" ref="H6:H23" si="0">Q6</f>
        <v>953</v>
      </c>
      <c r="I6">
        <f t="shared" ref="I6:I23" si="1">R6</f>
        <v>697</v>
      </c>
      <c r="Q6">
        <v>953</v>
      </c>
      <c r="R6">
        <v>697</v>
      </c>
    </row>
    <row r="7" spans="1:18" x14ac:dyDescent="0.2">
      <c r="A7" s="2">
        <v>1991</v>
      </c>
      <c r="H7">
        <f t="shared" si="0"/>
        <v>955</v>
      </c>
      <c r="I7">
        <f t="shared" si="1"/>
        <v>725</v>
      </c>
      <c r="K7">
        <f>H7-H6</f>
        <v>2</v>
      </c>
      <c r="L7">
        <f>I7-I6</f>
        <v>28</v>
      </c>
      <c r="N7">
        <f>H6+K7-H7</f>
        <v>0</v>
      </c>
      <c r="O7">
        <f>I6+L7-I7</f>
        <v>0</v>
      </c>
      <c r="Q7">
        <v>955</v>
      </c>
      <c r="R7">
        <v>725</v>
      </c>
    </row>
    <row r="8" spans="1:18" x14ac:dyDescent="0.2">
      <c r="A8" s="2">
        <v>1992</v>
      </c>
      <c r="H8">
        <f t="shared" si="0"/>
        <v>998</v>
      </c>
      <c r="I8">
        <f t="shared" si="1"/>
        <v>701</v>
      </c>
      <c r="K8">
        <f t="shared" ref="K8:K26" si="2">H8-H7</f>
        <v>43</v>
      </c>
      <c r="L8">
        <v>0</v>
      </c>
      <c r="N8">
        <f t="shared" ref="N8:N36" si="3">H7+K8-H8</f>
        <v>0</v>
      </c>
      <c r="O8">
        <f t="shared" ref="O8:O36" si="4">I7+L8-I8</f>
        <v>24</v>
      </c>
      <c r="Q8">
        <v>998</v>
      </c>
      <c r="R8">
        <v>701</v>
      </c>
    </row>
    <row r="9" spans="1:18" x14ac:dyDescent="0.2">
      <c r="A9" s="2">
        <v>1993</v>
      </c>
      <c r="H9">
        <f t="shared" si="0"/>
        <v>990</v>
      </c>
      <c r="I9">
        <f t="shared" si="1"/>
        <v>696</v>
      </c>
      <c r="K9">
        <v>0</v>
      </c>
      <c r="L9">
        <v>0</v>
      </c>
      <c r="N9">
        <f t="shared" si="3"/>
        <v>8</v>
      </c>
      <c r="O9">
        <f t="shared" si="4"/>
        <v>5</v>
      </c>
      <c r="Q9">
        <v>990</v>
      </c>
      <c r="R9">
        <v>696</v>
      </c>
    </row>
    <row r="10" spans="1:18" x14ac:dyDescent="0.2">
      <c r="A10" s="2">
        <v>1994</v>
      </c>
      <c r="H10">
        <f t="shared" si="0"/>
        <v>926</v>
      </c>
      <c r="I10">
        <f t="shared" si="1"/>
        <v>692</v>
      </c>
      <c r="K10">
        <v>0</v>
      </c>
      <c r="L10">
        <v>0</v>
      </c>
      <c r="N10">
        <f t="shared" si="3"/>
        <v>64</v>
      </c>
      <c r="O10">
        <f t="shared" si="4"/>
        <v>4</v>
      </c>
      <c r="Q10">
        <v>926</v>
      </c>
      <c r="R10">
        <v>692</v>
      </c>
    </row>
    <row r="11" spans="1:18" x14ac:dyDescent="0.2">
      <c r="A11" s="2">
        <v>1995</v>
      </c>
      <c r="H11">
        <f t="shared" si="0"/>
        <v>887</v>
      </c>
      <c r="I11">
        <f t="shared" si="1"/>
        <v>698</v>
      </c>
      <c r="K11">
        <v>0</v>
      </c>
      <c r="L11">
        <f t="shared" ref="L11:L26" si="5">I11-I10</f>
        <v>6</v>
      </c>
      <c r="N11">
        <f t="shared" si="3"/>
        <v>39</v>
      </c>
      <c r="O11">
        <f t="shared" si="4"/>
        <v>0</v>
      </c>
      <c r="Q11">
        <v>887</v>
      </c>
      <c r="R11">
        <v>698</v>
      </c>
    </row>
    <row r="12" spans="1:18" x14ac:dyDescent="0.2">
      <c r="A12" s="2">
        <v>1996</v>
      </c>
      <c r="H12">
        <f t="shared" si="0"/>
        <v>874</v>
      </c>
      <c r="I12">
        <f t="shared" si="1"/>
        <v>696</v>
      </c>
      <c r="K12">
        <v>0</v>
      </c>
      <c r="L12">
        <v>0</v>
      </c>
      <c r="N12">
        <f t="shared" si="3"/>
        <v>13</v>
      </c>
      <c r="O12">
        <f t="shared" si="4"/>
        <v>2</v>
      </c>
      <c r="Q12">
        <v>874</v>
      </c>
      <c r="R12">
        <v>696</v>
      </c>
    </row>
    <row r="13" spans="1:18" x14ac:dyDescent="0.2">
      <c r="A13" s="2">
        <v>1997</v>
      </c>
      <c r="H13">
        <f t="shared" si="0"/>
        <v>869</v>
      </c>
      <c r="I13">
        <f t="shared" si="1"/>
        <v>683</v>
      </c>
      <c r="K13">
        <v>0</v>
      </c>
      <c r="L13">
        <v>0</v>
      </c>
      <c r="N13">
        <f t="shared" si="3"/>
        <v>5</v>
      </c>
      <c r="O13">
        <f t="shared" si="4"/>
        <v>13</v>
      </c>
      <c r="Q13">
        <v>869</v>
      </c>
      <c r="R13">
        <v>683</v>
      </c>
    </row>
    <row r="14" spans="1:18" x14ac:dyDescent="0.2">
      <c r="A14" s="2">
        <v>1998</v>
      </c>
      <c r="H14">
        <f t="shared" si="0"/>
        <v>808</v>
      </c>
      <c r="I14">
        <f t="shared" si="1"/>
        <v>680</v>
      </c>
      <c r="K14">
        <v>0</v>
      </c>
      <c r="L14">
        <v>0</v>
      </c>
      <c r="N14">
        <f t="shared" si="3"/>
        <v>61</v>
      </c>
      <c r="O14">
        <f t="shared" si="4"/>
        <v>3</v>
      </c>
      <c r="Q14">
        <v>808</v>
      </c>
      <c r="R14">
        <v>680</v>
      </c>
    </row>
    <row r="15" spans="1:18" x14ac:dyDescent="0.2">
      <c r="A15" s="2">
        <v>1999</v>
      </c>
      <c r="H15">
        <f t="shared" si="0"/>
        <v>752</v>
      </c>
      <c r="I15">
        <f t="shared" si="1"/>
        <v>670</v>
      </c>
      <c r="K15">
        <v>0</v>
      </c>
      <c r="L15">
        <v>0</v>
      </c>
      <c r="N15">
        <f t="shared" si="3"/>
        <v>56</v>
      </c>
      <c r="O15">
        <f t="shared" si="4"/>
        <v>10</v>
      </c>
      <c r="Q15">
        <v>752</v>
      </c>
      <c r="R15">
        <v>670</v>
      </c>
    </row>
    <row r="16" spans="1:18" x14ac:dyDescent="0.2">
      <c r="A16" s="2">
        <v>2000</v>
      </c>
      <c r="H16">
        <f t="shared" si="0"/>
        <v>741</v>
      </c>
      <c r="I16">
        <f t="shared" si="1"/>
        <v>646</v>
      </c>
      <c r="K16">
        <v>0</v>
      </c>
      <c r="L16">
        <v>0</v>
      </c>
      <c r="N16">
        <f t="shared" si="3"/>
        <v>11</v>
      </c>
      <c r="O16">
        <f t="shared" si="4"/>
        <v>24</v>
      </c>
      <c r="Q16">
        <v>741</v>
      </c>
      <c r="R16">
        <v>646</v>
      </c>
    </row>
    <row r="17" spans="1:18" x14ac:dyDescent="0.2">
      <c r="A17" s="2">
        <v>2001</v>
      </c>
      <c r="H17">
        <f t="shared" si="0"/>
        <v>774</v>
      </c>
      <c r="I17">
        <f t="shared" si="1"/>
        <v>625</v>
      </c>
      <c r="K17">
        <f t="shared" si="2"/>
        <v>33</v>
      </c>
      <c r="L17">
        <v>0</v>
      </c>
      <c r="N17">
        <f t="shared" si="3"/>
        <v>0</v>
      </c>
      <c r="O17">
        <f t="shared" si="4"/>
        <v>21</v>
      </c>
      <c r="Q17">
        <v>774</v>
      </c>
      <c r="R17">
        <v>625</v>
      </c>
    </row>
    <row r="18" spans="1:18" x14ac:dyDescent="0.2">
      <c r="A18" s="2">
        <v>2002</v>
      </c>
      <c r="H18">
        <f t="shared" si="0"/>
        <v>771</v>
      </c>
      <c r="I18">
        <f t="shared" si="1"/>
        <v>616</v>
      </c>
      <c r="K18">
        <v>0</v>
      </c>
      <c r="L18">
        <v>0</v>
      </c>
      <c r="N18">
        <f t="shared" si="3"/>
        <v>3</v>
      </c>
      <c r="O18">
        <f t="shared" si="4"/>
        <v>9</v>
      </c>
      <c r="Q18">
        <v>771</v>
      </c>
      <c r="R18">
        <v>616</v>
      </c>
    </row>
    <row r="19" spans="1:18" x14ac:dyDescent="0.2">
      <c r="A19" s="2">
        <v>2003</v>
      </c>
      <c r="H19">
        <f t="shared" si="0"/>
        <v>770</v>
      </c>
      <c r="I19">
        <f t="shared" si="1"/>
        <v>588</v>
      </c>
      <c r="K19">
        <v>0</v>
      </c>
      <c r="L19">
        <v>0</v>
      </c>
      <c r="N19">
        <f t="shared" si="3"/>
        <v>1</v>
      </c>
      <c r="O19">
        <f t="shared" si="4"/>
        <v>28</v>
      </c>
      <c r="Q19">
        <v>770</v>
      </c>
      <c r="R19">
        <v>588</v>
      </c>
    </row>
    <row r="20" spans="1:18" x14ac:dyDescent="0.2">
      <c r="A20" s="2">
        <v>2004</v>
      </c>
      <c r="H20">
        <f t="shared" si="0"/>
        <v>760</v>
      </c>
      <c r="I20">
        <f t="shared" si="1"/>
        <v>588</v>
      </c>
      <c r="K20">
        <v>0</v>
      </c>
      <c r="L20">
        <f t="shared" si="5"/>
        <v>0</v>
      </c>
      <c r="N20">
        <f t="shared" si="3"/>
        <v>10</v>
      </c>
      <c r="O20">
        <f t="shared" si="4"/>
        <v>0</v>
      </c>
      <c r="Q20">
        <v>760</v>
      </c>
      <c r="R20">
        <v>588</v>
      </c>
    </row>
    <row r="21" spans="1:18" x14ac:dyDescent="0.2">
      <c r="A21" s="2">
        <v>2005</v>
      </c>
      <c r="H21">
        <f t="shared" si="0"/>
        <v>770</v>
      </c>
      <c r="I21">
        <f t="shared" si="1"/>
        <v>606</v>
      </c>
      <c r="K21">
        <f t="shared" si="2"/>
        <v>10</v>
      </c>
      <c r="L21">
        <f t="shared" si="5"/>
        <v>18</v>
      </c>
      <c r="N21">
        <f t="shared" si="3"/>
        <v>0</v>
      </c>
      <c r="O21">
        <f t="shared" si="4"/>
        <v>0</v>
      </c>
      <c r="Q21">
        <v>770</v>
      </c>
      <c r="R21">
        <v>606</v>
      </c>
    </row>
    <row r="22" spans="1:18" x14ac:dyDescent="0.2">
      <c r="A22" s="2">
        <v>2006</v>
      </c>
      <c r="H22">
        <f t="shared" si="0"/>
        <v>760</v>
      </c>
      <c r="I22">
        <f t="shared" si="1"/>
        <v>606</v>
      </c>
      <c r="K22">
        <v>0</v>
      </c>
      <c r="L22">
        <f t="shared" si="5"/>
        <v>0</v>
      </c>
      <c r="N22">
        <f t="shared" si="3"/>
        <v>10</v>
      </c>
      <c r="O22">
        <f t="shared" si="4"/>
        <v>0</v>
      </c>
      <c r="Q22">
        <v>760</v>
      </c>
      <c r="R22">
        <v>606</v>
      </c>
    </row>
    <row r="23" spans="1:18" x14ac:dyDescent="0.2">
      <c r="A23" s="2">
        <v>2007</v>
      </c>
      <c r="H23">
        <f t="shared" si="0"/>
        <v>754</v>
      </c>
      <c r="I23">
        <f t="shared" si="1"/>
        <v>596</v>
      </c>
      <c r="K23">
        <v>0</v>
      </c>
      <c r="L23">
        <v>0</v>
      </c>
      <c r="N23">
        <f t="shared" si="3"/>
        <v>6</v>
      </c>
      <c r="O23">
        <f t="shared" si="4"/>
        <v>10</v>
      </c>
      <c r="Q23">
        <v>754</v>
      </c>
      <c r="R23">
        <v>596</v>
      </c>
    </row>
    <row r="24" spans="1:18" x14ac:dyDescent="0.2">
      <c r="A24" s="2">
        <v>2008</v>
      </c>
      <c r="H24">
        <f>H23+(Q$26-Q$23)/($A$26-$A$23)</f>
        <v>763</v>
      </c>
      <c r="I24">
        <f>I23+(R$26-R$23)/($A$26-$A$23)</f>
        <v>599.33333333333337</v>
      </c>
      <c r="K24">
        <f t="shared" si="2"/>
        <v>9</v>
      </c>
      <c r="L24">
        <f t="shared" si="5"/>
        <v>3.3333333333333712</v>
      </c>
      <c r="N24">
        <f t="shared" si="3"/>
        <v>0</v>
      </c>
      <c r="O24">
        <f t="shared" si="4"/>
        <v>0</v>
      </c>
    </row>
    <row r="25" spans="1:18" x14ac:dyDescent="0.2">
      <c r="A25" s="2">
        <v>2009</v>
      </c>
      <c r="H25">
        <f>H24+(Q$26-Q$23)/($A$26-$A$23)</f>
        <v>772</v>
      </c>
      <c r="I25">
        <f>I24+(R$26-R$23)/($A$26-$A$23)</f>
        <v>602.66666666666674</v>
      </c>
      <c r="K25">
        <f t="shared" si="2"/>
        <v>9</v>
      </c>
      <c r="L25">
        <f t="shared" si="5"/>
        <v>3.3333333333333712</v>
      </c>
      <c r="N25">
        <f t="shared" si="3"/>
        <v>0</v>
      </c>
      <c r="O25">
        <f t="shared" si="4"/>
        <v>0</v>
      </c>
    </row>
    <row r="26" spans="1:18" x14ac:dyDescent="0.2">
      <c r="A26" s="2">
        <v>2010</v>
      </c>
      <c r="H26">
        <f>Q26</f>
        <v>781</v>
      </c>
      <c r="I26">
        <f>R26</f>
        <v>606</v>
      </c>
      <c r="K26">
        <f t="shared" si="2"/>
        <v>9</v>
      </c>
      <c r="L26">
        <f t="shared" si="5"/>
        <v>3.3333333333332575</v>
      </c>
      <c r="N26">
        <f t="shared" si="3"/>
        <v>0</v>
      </c>
      <c r="O26">
        <f t="shared" si="4"/>
        <v>0</v>
      </c>
      <c r="Q26">
        <v>781</v>
      </c>
      <c r="R26">
        <v>606</v>
      </c>
    </row>
    <row r="27" spans="1:18" x14ac:dyDescent="0.2">
      <c r="A27" s="2">
        <v>2011</v>
      </c>
      <c r="H27">
        <f>H26+(Q$31-Q$26)/($A$31-$A$26)</f>
        <v>780.4</v>
      </c>
      <c r="I27">
        <f>I26+(R$31-R$26)/($A$31-$A$26)</f>
        <v>594.4</v>
      </c>
      <c r="K27">
        <v>0</v>
      </c>
      <c r="L27">
        <v>0</v>
      </c>
      <c r="N27">
        <f t="shared" si="3"/>
        <v>0.60000000000002274</v>
      </c>
      <c r="O27">
        <f t="shared" si="4"/>
        <v>11.600000000000023</v>
      </c>
    </row>
    <row r="28" spans="1:18" x14ac:dyDescent="0.2">
      <c r="A28" s="2">
        <v>2012</v>
      </c>
      <c r="H28">
        <f t="shared" ref="H28:I30" si="6">H27+(Q$31-Q$26)/($A$31-$A$26)</f>
        <v>779.8</v>
      </c>
      <c r="I28">
        <f t="shared" si="6"/>
        <v>582.79999999999995</v>
      </c>
      <c r="K28">
        <v>0</v>
      </c>
      <c r="L28">
        <v>0</v>
      </c>
      <c r="N28">
        <f t="shared" si="3"/>
        <v>0.60000000000002274</v>
      </c>
      <c r="O28">
        <f t="shared" si="4"/>
        <v>11.600000000000023</v>
      </c>
    </row>
    <row r="29" spans="1:18" x14ac:dyDescent="0.2">
      <c r="A29" s="2">
        <v>2013</v>
      </c>
      <c r="H29">
        <f t="shared" si="6"/>
        <v>779.19999999999993</v>
      </c>
      <c r="I29">
        <f t="shared" si="6"/>
        <v>571.19999999999993</v>
      </c>
      <c r="K29">
        <v>0</v>
      </c>
      <c r="L29">
        <v>0</v>
      </c>
      <c r="N29">
        <f t="shared" si="3"/>
        <v>0.60000000000002274</v>
      </c>
      <c r="O29">
        <f t="shared" si="4"/>
        <v>11.600000000000023</v>
      </c>
    </row>
    <row r="30" spans="1:18" x14ac:dyDescent="0.2">
      <c r="A30" s="2">
        <v>2014</v>
      </c>
      <c r="H30">
        <f t="shared" si="6"/>
        <v>778.59999999999991</v>
      </c>
      <c r="I30">
        <f t="shared" si="6"/>
        <v>559.59999999999991</v>
      </c>
      <c r="K30">
        <v>0</v>
      </c>
      <c r="L30">
        <v>0</v>
      </c>
      <c r="N30">
        <f t="shared" si="3"/>
        <v>0.60000000000002274</v>
      </c>
      <c r="O30">
        <f t="shared" si="4"/>
        <v>11.600000000000023</v>
      </c>
    </row>
    <row r="31" spans="1:18" x14ac:dyDescent="0.2">
      <c r="A31" s="2">
        <v>2015</v>
      </c>
      <c r="H31">
        <f>Q31</f>
        <v>778</v>
      </c>
      <c r="I31">
        <f>R31</f>
        <v>548</v>
      </c>
      <c r="K31">
        <v>0</v>
      </c>
      <c r="L31">
        <v>0</v>
      </c>
      <c r="N31">
        <f t="shared" si="3"/>
        <v>0.59999999999990905</v>
      </c>
      <c r="O31">
        <f t="shared" si="4"/>
        <v>11.599999999999909</v>
      </c>
      <c r="Q31">
        <v>778</v>
      </c>
      <c r="R31">
        <v>548</v>
      </c>
    </row>
    <row r="32" spans="1:18" x14ac:dyDescent="0.2">
      <c r="A32" s="2">
        <v>2016</v>
      </c>
      <c r="H32">
        <f>H31+(Q$36-Q$31)/($A$36-$A$31)</f>
        <v>768.6</v>
      </c>
      <c r="I32">
        <f>I31+(R$36-R$31)/($A$36-$A$31)</f>
        <v>545.6</v>
      </c>
      <c r="K32">
        <v>0</v>
      </c>
      <c r="L32">
        <v>0</v>
      </c>
      <c r="N32">
        <f t="shared" si="3"/>
        <v>9.3999999999999773</v>
      </c>
      <c r="O32">
        <f t="shared" si="4"/>
        <v>2.3999999999999773</v>
      </c>
    </row>
    <row r="33" spans="1:18" x14ac:dyDescent="0.2">
      <c r="A33" s="2">
        <v>2017</v>
      </c>
      <c r="H33">
        <f t="shared" ref="H33:I35" si="7">H32+(Q$36-Q$31)/($A$36-$A$31)</f>
        <v>759.2</v>
      </c>
      <c r="I33">
        <f t="shared" si="7"/>
        <v>543.20000000000005</v>
      </c>
      <c r="K33">
        <v>0</v>
      </c>
      <c r="L33">
        <v>0</v>
      </c>
      <c r="N33">
        <f t="shared" si="3"/>
        <v>9.3999999999999773</v>
      </c>
      <c r="O33">
        <f t="shared" si="4"/>
        <v>2.3999999999999773</v>
      </c>
    </row>
    <row r="34" spans="1:18" x14ac:dyDescent="0.2">
      <c r="A34" s="2">
        <v>2018</v>
      </c>
      <c r="H34">
        <f t="shared" si="7"/>
        <v>749.80000000000007</v>
      </c>
      <c r="I34">
        <f t="shared" si="7"/>
        <v>540.80000000000007</v>
      </c>
      <c r="K34">
        <v>0</v>
      </c>
      <c r="L34">
        <v>0</v>
      </c>
      <c r="N34">
        <f t="shared" si="3"/>
        <v>9.3999999999999773</v>
      </c>
      <c r="O34">
        <f t="shared" si="4"/>
        <v>2.3999999999999773</v>
      </c>
    </row>
    <row r="35" spans="1:18" x14ac:dyDescent="0.2">
      <c r="A35" s="2">
        <v>2019</v>
      </c>
      <c r="H35">
        <f t="shared" si="7"/>
        <v>740.40000000000009</v>
      </c>
      <c r="I35">
        <f t="shared" si="7"/>
        <v>538.40000000000009</v>
      </c>
      <c r="K35">
        <v>0</v>
      </c>
      <c r="L35">
        <v>0</v>
      </c>
      <c r="N35">
        <f t="shared" si="3"/>
        <v>9.3999999999999773</v>
      </c>
      <c r="O35">
        <f t="shared" si="4"/>
        <v>2.3999999999999773</v>
      </c>
    </row>
    <row r="36" spans="1:18" x14ac:dyDescent="0.2">
      <c r="A36" s="2">
        <v>2020</v>
      </c>
      <c r="H36">
        <f>Q36</f>
        <v>731</v>
      </c>
      <c r="I36">
        <f>R36</f>
        <v>536</v>
      </c>
      <c r="K36">
        <v>0</v>
      </c>
      <c r="L36">
        <v>0</v>
      </c>
      <c r="N36">
        <f t="shared" si="3"/>
        <v>9.4000000000000909</v>
      </c>
      <c r="O36">
        <f t="shared" si="4"/>
        <v>2.4000000000000909</v>
      </c>
      <c r="Q36">
        <v>731</v>
      </c>
      <c r="R36">
        <v>536</v>
      </c>
    </row>
    <row r="37" spans="1:18" x14ac:dyDescent="0.2">
      <c r="A37" s="2">
        <v>2021</v>
      </c>
    </row>
    <row r="38" spans="1:18" x14ac:dyDescent="0.2">
      <c r="A38" s="4"/>
    </row>
    <row r="39" spans="1:18" x14ac:dyDescent="0.2">
      <c r="K39">
        <f>AVERAGE(K7:K36)</f>
        <v>3.8333333333333335</v>
      </c>
      <c r="L39">
        <f>AVERAGE(L7:L36)</f>
        <v>2.0666666666666669</v>
      </c>
      <c r="R39">
        <v>-6.6740000000000004</v>
      </c>
    </row>
    <row r="43" spans="1:18" x14ac:dyDescent="0.2">
      <c r="A43" s="2" t="s">
        <v>6</v>
      </c>
      <c r="B43" t="s">
        <v>248</v>
      </c>
      <c r="C43" t="s">
        <v>284</v>
      </c>
      <c r="D43" s="7" t="s">
        <v>283</v>
      </c>
      <c r="Q43" t="s">
        <v>8</v>
      </c>
    </row>
    <row r="44" spans="1:18" x14ac:dyDescent="0.2">
      <c r="A44" s="2" t="s">
        <v>7</v>
      </c>
      <c r="C44" s="3" t="s">
        <v>282</v>
      </c>
    </row>
  </sheetData>
  <mergeCells count="18">
    <mergeCell ref="Q3:R3"/>
    <mergeCell ref="H3:I3"/>
    <mergeCell ref="K3:L3"/>
    <mergeCell ref="N3:O3"/>
    <mergeCell ref="K1:L1"/>
    <mergeCell ref="N1:O1"/>
    <mergeCell ref="Q2:R2"/>
    <mergeCell ref="K2:L2"/>
    <mergeCell ref="N2:O2"/>
    <mergeCell ref="H2:I2"/>
    <mergeCell ref="H1:I1"/>
    <mergeCell ref="Q1:R1"/>
    <mergeCell ref="B1:C1"/>
    <mergeCell ref="B2:C2"/>
    <mergeCell ref="B3:C3"/>
    <mergeCell ref="E1:F1"/>
    <mergeCell ref="E2:F2"/>
    <mergeCell ref="E3:F3"/>
  </mergeCells>
  <conditionalFormatting sqref="K6:L36">
    <cfRule type="cellIs" dxfId="11" priority="2" operator="lessThan">
      <formula>0</formula>
    </cfRule>
  </conditionalFormatting>
  <conditionalFormatting sqref="N6:O36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CA9-03F6-EA4F-A9B7-94E47D7EEF79}">
  <dimension ref="A1:T49"/>
  <sheetViews>
    <sheetView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W29" sqref="W29"/>
    </sheetView>
  </sheetViews>
  <sheetFormatPr baseColWidth="10" defaultRowHeight="16" x14ac:dyDescent="0.2"/>
  <cols>
    <col min="1" max="1" width="10.83203125" style="2"/>
    <col min="2" max="3" width="15.83203125" customWidth="1"/>
    <col min="4" max="4" width="10.83203125" style="7"/>
    <col min="5" max="6" width="20.6640625" customWidth="1"/>
    <col min="7" max="7" width="10.83203125" style="7"/>
    <col min="12" max="12" width="10.83203125" style="7"/>
    <col min="13" max="13" width="12.6640625" bestFit="1" customWidth="1"/>
  </cols>
  <sheetData>
    <row r="1" spans="1:20" s="2" customFormat="1" ht="65" customHeight="1" x14ac:dyDescent="0.2">
      <c r="B1" s="29" t="s">
        <v>93</v>
      </c>
      <c r="C1" s="29"/>
      <c r="D1" s="28"/>
      <c r="E1" s="30" t="s">
        <v>112</v>
      </c>
      <c r="F1" s="30"/>
      <c r="G1" s="6"/>
      <c r="H1" s="89" t="s">
        <v>184</v>
      </c>
      <c r="I1" s="89"/>
      <c r="J1" s="24"/>
      <c r="K1" s="24"/>
      <c r="L1" s="6"/>
      <c r="M1" s="87" t="s">
        <v>181</v>
      </c>
      <c r="N1" s="88"/>
      <c r="O1" s="88"/>
      <c r="P1" s="88"/>
      <c r="Q1" s="88"/>
      <c r="R1" s="88"/>
      <c r="S1" s="88"/>
      <c r="T1" s="88"/>
    </row>
    <row r="2" spans="1:20" s="2" customFormat="1" x14ac:dyDescent="0.2">
      <c r="B2" s="56" t="s">
        <v>26</v>
      </c>
      <c r="C2" s="56"/>
      <c r="D2" s="6"/>
      <c r="E2" s="1"/>
      <c r="F2" s="1"/>
      <c r="G2" s="6"/>
      <c r="H2" s="2" t="s">
        <v>187</v>
      </c>
      <c r="I2" s="2" t="s">
        <v>186</v>
      </c>
      <c r="J2" s="2" t="s">
        <v>187</v>
      </c>
      <c r="K2" s="2" t="s">
        <v>186</v>
      </c>
      <c r="L2" s="6"/>
      <c r="M2" s="56" t="s">
        <v>189</v>
      </c>
      <c r="N2" s="56"/>
      <c r="P2" s="56" t="s">
        <v>240</v>
      </c>
      <c r="Q2" s="56"/>
      <c r="S2" s="56" t="s">
        <v>241</v>
      </c>
      <c r="T2" s="56"/>
    </row>
    <row r="3" spans="1:20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H3" s="56" t="s">
        <v>171</v>
      </c>
      <c r="I3" s="56"/>
      <c r="J3" s="56" t="s">
        <v>171</v>
      </c>
      <c r="K3" s="56"/>
      <c r="L3" s="6"/>
      <c r="M3" s="56" t="s">
        <v>171</v>
      </c>
      <c r="N3" s="56"/>
      <c r="P3" s="56" t="s">
        <v>171</v>
      </c>
      <c r="Q3" s="56"/>
      <c r="S3" s="56" t="s">
        <v>171</v>
      </c>
      <c r="T3" s="56"/>
    </row>
    <row r="4" spans="1:20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56" t="s">
        <v>203</v>
      </c>
      <c r="I4" s="56"/>
      <c r="J4" s="56" t="s">
        <v>1</v>
      </c>
      <c r="K4" s="56"/>
      <c r="L4" s="6"/>
      <c r="M4" s="2" t="s">
        <v>203</v>
      </c>
      <c r="N4" s="2" t="s">
        <v>1</v>
      </c>
      <c r="P4" s="2" t="s">
        <v>203</v>
      </c>
      <c r="Q4" s="2" t="s">
        <v>1</v>
      </c>
      <c r="S4" s="2" t="s">
        <v>203</v>
      </c>
      <c r="T4" s="2" t="s">
        <v>1</v>
      </c>
    </row>
    <row r="5" spans="1:20" s="11" customFormat="1" ht="17" x14ac:dyDescent="0.2">
      <c r="A5" s="11" t="s">
        <v>90</v>
      </c>
      <c r="B5" s="2" t="s">
        <v>91</v>
      </c>
      <c r="C5" s="2" t="s">
        <v>91</v>
      </c>
      <c r="D5" s="16"/>
      <c r="E5" s="2" t="s">
        <v>94</v>
      </c>
      <c r="F5" s="2" t="s">
        <v>94</v>
      </c>
      <c r="G5" s="16"/>
      <c r="L5" s="16"/>
      <c r="M5" s="11" t="s">
        <v>91</v>
      </c>
      <c r="N5" s="11" t="s">
        <v>91</v>
      </c>
      <c r="P5" s="11" t="s">
        <v>92</v>
      </c>
      <c r="Q5" s="11" t="s">
        <v>92</v>
      </c>
      <c r="S5" s="11" t="s">
        <v>94</v>
      </c>
      <c r="T5" s="11" t="s">
        <v>94</v>
      </c>
    </row>
    <row r="6" spans="1:20" x14ac:dyDescent="0.2">
      <c r="A6">
        <v>1990</v>
      </c>
      <c r="B6">
        <f t="shared" ref="B6:B37" si="0">M6</f>
        <v>27.198</v>
      </c>
      <c r="C6">
        <f t="shared" ref="C6:C37" si="1">N6</f>
        <v>28.545000000000002</v>
      </c>
      <c r="E6">
        <f>S40</f>
        <v>3.7168478114331639E-2</v>
      </c>
      <c r="F6">
        <f>T40</f>
        <v>4.554907337673017E-2</v>
      </c>
      <c r="H6">
        <v>0</v>
      </c>
      <c r="I6">
        <v>1</v>
      </c>
      <c r="J6">
        <v>0</v>
      </c>
      <c r="K6">
        <v>1</v>
      </c>
      <c r="M6">
        <v>27.198</v>
      </c>
      <c r="N6">
        <v>28.545000000000002</v>
      </c>
      <c r="P6">
        <f>MRT.Cap!H6</f>
        <v>953</v>
      </c>
      <c r="Q6">
        <f>MRT.Cap!I6</f>
        <v>697</v>
      </c>
      <c r="S6">
        <f t="shared" ref="S6:S36" si="2">M6/P6</f>
        <v>2.8539349422875133E-2</v>
      </c>
      <c r="T6">
        <f t="shared" ref="T6:T36" si="3">N6/Q6</f>
        <v>4.0954088952654233E-2</v>
      </c>
    </row>
    <row r="7" spans="1:20" x14ac:dyDescent="0.2">
      <c r="A7">
        <v>1991</v>
      </c>
      <c r="B7">
        <f t="shared" si="0"/>
        <v>27.818999999999999</v>
      </c>
      <c r="C7">
        <f t="shared" si="1"/>
        <v>29.184000000000001</v>
      </c>
      <c r="H7">
        <v>0</v>
      </c>
      <c r="I7">
        <v>1</v>
      </c>
      <c r="J7">
        <v>0</v>
      </c>
      <c r="K7">
        <v>1</v>
      </c>
      <c r="M7">
        <v>27.818999999999999</v>
      </c>
      <c r="N7">
        <v>29.184000000000001</v>
      </c>
      <c r="P7">
        <f>MRT.Cap!H7</f>
        <v>955</v>
      </c>
      <c r="Q7">
        <f>MRT.Cap!I7</f>
        <v>725</v>
      </c>
      <c r="S7">
        <f t="shared" si="2"/>
        <v>2.9129842931937173E-2</v>
      </c>
      <c r="T7">
        <f t="shared" si="3"/>
        <v>4.0253793103448281E-2</v>
      </c>
    </row>
    <row r="8" spans="1:20" x14ac:dyDescent="0.2">
      <c r="A8">
        <v>1992</v>
      </c>
      <c r="B8">
        <f t="shared" si="0"/>
        <v>28.466999999999999</v>
      </c>
      <c r="C8">
        <f t="shared" si="1"/>
        <v>30.334</v>
      </c>
      <c r="H8">
        <v>0</v>
      </c>
      <c r="I8">
        <v>1</v>
      </c>
      <c r="J8">
        <v>0</v>
      </c>
      <c r="K8">
        <v>1</v>
      </c>
      <c r="M8">
        <v>28.466999999999999</v>
      </c>
      <c r="N8">
        <v>30.334</v>
      </c>
      <c r="P8">
        <f>MRT.Cap!H8</f>
        <v>998</v>
      </c>
      <c r="Q8">
        <f>MRT.Cap!I8</f>
        <v>701</v>
      </c>
      <c r="S8">
        <f t="shared" si="2"/>
        <v>2.8524048096192384E-2</v>
      </c>
      <c r="T8">
        <f t="shared" si="3"/>
        <v>4.3272467902995722E-2</v>
      </c>
    </row>
    <row r="9" spans="1:20" x14ac:dyDescent="0.2">
      <c r="A9">
        <v>1993</v>
      </c>
      <c r="B9">
        <f t="shared" si="0"/>
        <v>27.332999999999998</v>
      </c>
      <c r="C9">
        <f t="shared" si="1"/>
        <v>29.074000000000002</v>
      </c>
      <c r="H9">
        <v>0</v>
      </c>
      <c r="I9">
        <v>1</v>
      </c>
      <c r="J9">
        <v>0</v>
      </c>
      <c r="K9">
        <v>1</v>
      </c>
      <c r="M9">
        <v>27.332999999999998</v>
      </c>
      <c r="N9">
        <v>29.074000000000002</v>
      </c>
      <c r="P9">
        <f>MRT.Cap!H9</f>
        <v>990</v>
      </c>
      <c r="Q9">
        <f>MRT.Cap!I9</f>
        <v>696</v>
      </c>
      <c r="S9">
        <f t="shared" si="2"/>
        <v>2.7609090909090906E-2</v>
      </c>
      <c r="T9">
        <f t="shared" si="3"/>
        <v>4.1772988505747129E-2</v>
      </c>
    </row>
    <row r="10" spans="1:20" x14ac:dyDescent="0.2">
      <c r="A10">
        <v>1994</v>
      </c>
      <c r="B10">
        <f t="shared" si="0"/>
        <v>27.434999999999999</v>
      </c>
      <c r="C10">
        <f t="shared" si="1"/>
        <v>28.789000000000001</v>
      </c>
      <c r="H10">
        <v>0</v>
      </c>
      <c r="I10">
        <v>1</v>
      </c>
      <c r="J10">
        <v>0</v>
      </c>
      <c r="K10">
        <v>1</v>
      </c>
      <c r="M10">
        <v>27.434999999999999</v>
      </c>
      <c r="N10">
        <v>28.789000000000001</v>
      </c>
      <c r="P10">
        <f>MRT.Cap!H10</f>
        <v>926</v>
      </c>
      <c r="Q10">
        <f>MRT.Cap!I10</f>
        <v>692</v>
      </c>
      <c r="S10">
        <f t="shared" si="2"/>
        <v>2.962742980561555E-2</v>
      </c>
      <c r="T10">
        <f t="shared" si="3"/>
        <v>4.1602601156069369E-2</v>
      </c>
    </row>
    <row r="11" spans="1:20" x14ac:dyDescent="0.2">
      <c r="A11">
        <v>1995</v>
      </c>
      <c r="B11">
        <f t="shared" si="0"/>
        <v>27.667999999999999</v>
      </c>
      <c r="C11">
        <f t="shared" si="1"/>
        <v>28.419</v>
      </c>
      <c r="H11">
        <v>0</v>
      </c>
      <c r="I11">
        <v>1</v>
      </c>
      <c r="J11">
        <v>0</v>
      </c>
      <c r="K11">
        <v>1</v>
      </c>
      <c r="M11">
        <v>27.667999999999999</v>
      </c>
      <c r="N11">
        <v>28.419</v>
      </c>
      <c r="P11">
        <f>MRT.Cap!H11</f>
        <v>887</v>
      </c>
      <c r="Q11">
        <f>MRT.Cap!I11</f>
        <v>698</v>
      </c>
      <c r="S11">
        <f t="shared" si="2"/>
        <v>3.1192784667418264E-2</v>
      </c>
      <c r="T11">
        <f t="shared" si="3"/>
        <v>4.0714899713467048E-2</v>
      </c>
    </row>
    <row r="12" spans="1:20" x14ac:dyDescent="0.2">
      <c r="A12">
        <v>1996</v>
      </c>
      <c r="B12">
        <f t="shared" si="0"/>
        <v>27.59</v>
      </c>
      <c r="C12">
        <f t="shared" si="1"/>
        <v>28.722000000000001</v>
      </c>
      <c r="H12">
        <v>0</v>
      </c>
      <c r="I12">
        <v>1</v>
      </c>
      <c r="J12">
        <v>0</v>
      </c>
      <c r="K12">
        <v>1</v>
      </c>
      <c r="M12">
        <v>27.59</v>
      </c>
      <c r="N12">
        <v>28.722000000000001</v>
      </c>
      <c r="P12">
        <f>MRT.Cap!H12</f>
        <v>874</v>
      </c>
      <c r="Q12">
        <f>MRT.Cap!I12</f>
        <v>696</v>
      </c>
      <c r="S12">
        <f t="shared" si="2"/>
        <v>3.1567505720823799E-2</v>
      </c>
      <c r="T12">
        <f t="shared" si="3"/>
        <v>4.126724137931035E-2</v>
      </c>
    </row>
    <row r="13" spans="1:20" x14ac:dyDescent="0.2">
      <c r="A13">
        <v>1997</v>
      </c>
      <c r="B13">
        <f t="shared" si="0"/>
        <v>27.157</v>
      </c>
      <c r="C13">
        <f t="shared" si="1"/>
        <v>29.08</v>
      </c>
      <c r="H13">
        <v>0</v>
      </c>
      <c r="I13">
        <v>1</v>
      </c>
      <c r="J13">
        <v>0</v>
      </c>
      <c r="K13">
        <v>1</v>
      </c>
      <c r="M13">
        <v>27.157</v>
      </c>
      <c r="N13">
        <v>29.08</v>
      </c>
      <c r="P13">
        <f>MRT.Cap!H13</f>
        <v>869</v>
      </c>
      <c r="Q13">
        <f>MRT.Cap!I13</f>
        <v>683</v>
      </c>
      <c r="S13">
        <f t="shared" si="2"/>
        <v>3.1250863060989641E-2</v>
      </c>
      <c r="T13">
        <f t="shared" si="3"/>
        <v>4.2576866764275252E-2</v>
      </c>
    </row>
    <row r="14" spans="1:20" x14ac:dyDescent="0.2">
      <c r="A14">
        <v>1998</v>
      </c>
      <c r="B14">
        <f t="shared" si="0"/>
        <v>26.957000000000001</v>
      </c>
      <c r="C14">
        <f t="shared" si="1"/>
        <v>29.693000000000001</v>
      </c>
      <c r="H14">
        <v>0</v>
      </c>
      <c r="I14">
        <v>1</v>
      </c>
      <c r="J14">
        <v>0</v>
      </c>
      <c r="K14">
        <v>1</v>
      </c>
      <c r="M14">
        <v>26.957000000000001</v>
      </c>
      <c r="N14">
        <v>29.693000000000001</v>
      </c>
      <c r="P14">
        <f>MRT.Cap!H14</f>
        <v>808</v>
      </c>
      <c r="Q14">
        <f>MRT.Cap!I14</f>
        <v>680</v>
      </c>
      <c r="S14">
        <f t="shared" si="2"/>
        <v>3.336262376237624E-2</v>
      </c>
      <c r="T14">
        <f t="shared" si="3"/>
        <v>4.3666176470588236E-2</v>
      </c>
    </row>
    <row r="15" spans="1:20" x14ac:dyDescent="0.2">
      <c r="A15">
        <v>1999</v>
      </c>
      <c r="B15">
        <f t="shared" si="0"/>
        <v>26.489000000000001</v>
      </c>
      <c r="C15">
        <f t="shared" si="1"/>
        <v>30.009</v>
      </c>
      <c r="H15">
        <v>0</v>
      </c>
      <c r="I15">
        <v>1</v>
      </c>
      <c r="J15">
        <v>0</v>
      </c>
      <c r="K15">
        <v>1</v>
      </c>
      <c r="M15">
        <v>26.489000000000001</v>
      </c>
      <c r="N15">
        <v>30.009</v>
      </c>
      <c r="P15">
        <f>MRT.Cap!H15</f>
        <v>752</v>
      </c>
      <c r="Q15">
        <f>MRT.Cap!I15</f>
        <v>670</v>
      </c>
      <c r="S15">
        <f t="shared" si="2"/>
        <v>3.5224734042553191E-2</v>
      </c>
      <c r="T15">
        <f t="shared" si="3"/>
        <v>4.4789552238805971E-2</v>
      </c>
    </row>
    <row r="16" spans="1:20" x14ac:dyDescent="0.2">
      <c r="A16">
        <v>2000</v>
      </c>
      <c r="B16">
        <f t="shared" si="0"/>
        <v>26.550999999999998</v>
      </c>
      <c r="C16">
        <f t="shared" si="1"/>
        <v>29.437000000000001</v>
      </c>
      <c r="H16">
        <v>0</v>
      </c>
      <c r="I16">
        <v>1</v>
      </c>
      <c r="J16">
        <v>0</v>
      </c>
      <c r="K16">
        <v>1</v>
      </c>
      <c r="M16">
        <v>26.550999999999998</v>
      </c>
      <c r="N16">
        <v>29.437000000000001</v>
      </c>
      <c r="P16">
        <f>MRT.Cap!H16</f>
        <v>741</v>
      </c>
      <c r="Q16">
        <f>MRT.Cap!I16</f>
        <v>646</v>
      </c>
      <c r="S16">
        <f t="shared" si="2"/>
        <v>3.5831309041835353E-2</v>
      </c>
      <c r="T16">
        <f t="shared" si="3"/>
        <v>4.5568111455108362E-2</v>
      </c>
    </row>
    <row r="17" spans="1:20" x14ac:dyDescent="0.2">
      <c r="A17">
        <v>2001</v>
      </c>
      <c r="B17">
        <f t="shared" si="0"/>
        <v>28.119</v>
      </c>
      <c r="C17">
        <f t="shared" si="1"/>
        <v>28.277999999999999</v>
      </c>
      <c r="H17">
        <v>0</v>
      </c>
      <c r="I17">
        <v>1</v>
      </c>
      <c r="J17">
        <v>0</v>
      </c>
      <c r="K17">
        <v>1</v>
      </c>
      <c r="M17">
        <v>28.119</v>
      </c>
      <c r="N17">
        <v>28.277999999999999</v>
      </c>
      <c r="P17">
        <f>MRT.Cap!H17</f>
        <v>774</v>
      </c>
      <c r="Q17">
        <f>MRT.Cap!I17</f>
        <v>625</v>
      </c>
      <c r="S17">
        <f t="shared" si="2"/>
        <v>3.6329457364341088E-2</v>
      </c>
      <c r="T17">
        <f t="shared" si="3"/>
        <v>4.5244799999999995E-2</v>
      </c>
    </row>
    <row r="18" spans="1:20" x14ac:dyDescent="0.2">
      <c r="A18">
        <v>2002</v>
      </c>
      <c r="B18">
        <f t="shared" si="0"/>
        <v>27.774999999999999</v>
      </c>
      <c r="C18">
        <f t="shared" si="1"/>
        <v>27.4</v>
      </c>
      <c r="H18">
        <v>0</v>
      </c>
      <c r="I18">
        <v>1</v>
      </c>
      <c r="J18">
        <v>0</v>
      </c>
      <c r="K18">
        <v>1</v>
      </c>
      <c r="M18">
        <v>27.774999999999999</v>
      </c>
      <c r="N18">
        <v>27.4</v>
      </c>
      <c r="P18">
        <f>MRT.Cap!H18</f>
        <v>771</v>
      </c>
      <c r="Q18">
        <f>MRT.Cap!I18</f>
        <v>616</v>
      </c>
      <c r="S18">
        <f t="shared" si="2"/>
        <v>3.6024643320363162E-2</v>
      </c>
      <c r="T18">
        <f t="shared" si="3"/>
        <v>4.4480519480519481E-2</v>
      </c>
    </row>
    <row r="19" spans="1:20" x14ac:dyDescent="0.2">
      <c r="A19">
        <v>2003</v>
      </c>
      <c r="B19">
        <f t="shared" si="0"/>
        <v>27.946999999999999</v>
      </c>
      <c r="C19">
        <f t="shared" si="1"/>
        <v>27.15</v>
      </c>
      <c r="H19">
        <v>0</v>
      </c>
      <c r="I19">
        <v>1</v>
      </c>
      <c r="J19">
        <v>0</v>
      </c>
      <c r="K19">
        <v>1</v>
      </c>
      <c r="M19">
        <v>27.946999999999999</v>
      </c>
      <c r="N19">
        <v>27.15</v>
      </c>
      <c r="P19">
        <f>MRT.Cap!H19</f>
        <v>770</v>
      </c>
      <c r="Q19">
        <f>MRT.Cap!I19</f>
        <v>588</v>
      </c>
      <c r="S19">
        <f t="shared" si="2"/>
        <v>3.6294805194805192E-2</v>
      </c>
      <c r="T19">
        <f t="shared" si="3"/>
        <v>4.6173469387755101E-2</v>
      </c>
    </row>
    <row r="20" spans="1:20" x14ac:dyDescent="0.2">
      <c r="A20">
        <v>2004</v>
      </c>
      <c r="B20">
        <f t="shared" si="0"/>
        <v>42</v>
      </c>
      <c r="C20">
        <f t="shared" si="1"/>
        <v>30</v>
      </c>
      <c r="H20">
        <v>0</v>
      </c>
      <c r="I20">
        <v>1</v>
      </c>
      <c r="J20">
        <v>0</v>
      </c>
      <c r="K20">
        <v>1</v>
      </c>
      <c r="M20">
        <v>42</v>
      </c>
      <c r="N20">
        <v>30</v>
      </c>
      <c r="P20">
        <f>MRT.Cap!H20</f>
        <v>760</v>
      </c>
      <c r="Q20">
        <f>MRT.Cap!I20</f>
        <v>588</v>
      </c>
      <c r="S20">
        <f t="shared" si="2"/>
        <v>5.526315789473684E-2</v>
      </c>
      <c r="T20">
        <f t="shared" si="3"/>
        <v>5.1020408163265307E-2</v>
      </c>
    </row>
    <row r="21" spans="1:20" x14ac:dyDescent="0.2">
      <c r="A21" s="2">
        <v>2005</v>
      </c>
      <c r="B21">
        <f t="shared" si="0"/>
        <v>27.677</v>
      </c>
      <c r="C21">
        <f t="shared" si="1"/>
        <v>26.960999999999999</v>
      </c>
      <c r="H21">
        <v>0</v>
      </c>
      <c r="I21">
        <v>1</v>
      </c>
      <c r="J21">
        <v>0</v>
      </c>
      <c r="K21">
        <v>1</v>
      </c>
      <c r="M21">
        <v>27.677</v>
      </c>
      <c r="N21" s="9">
        <v>26.960999999999999</v>
      </c>
      <c r="P21">
        <f>MRT.Cap!H21</f>
        <v>770</v>
      </c>
      <c r="Q21">
        <f>MRT.Cap!I21</f>
        <v>606</v>
      </c>
      <c r="S21">
        <f t="shared" si="2"/>
        <v>3.5944155844155841E-2</v>
      </c>
      <c r="T21">
        <f t="shared" si="3"/>
        <v>4.4490099009900988E-2</v>
      </c>
    </row>
    <row r="22" spans="1:20" x14ac:dyDescent="0.2">
      <c r="A22" s="2">
        <v>2006</v>
      </c>
      <c r="B22">
        <f t="shared" si="0"/>
        <v>27.367000000000001</v>
      </c>
      <c r="C22">
        <f t="shared" si="1"/>
        <v>26.611000000000001</v>
      </c>
      <c r="H22">
        <v>0</v>
      </c>
      <c r="I22">
        <v>1</v>
      </c>
      <c r="J22">
        <v>0</v>
      </c>
      <c r="K22">
        <v>1</v>
      </c>
      <c r="M22">
        <v>27.367000000000001</v>
      </c>
      <c r="N22" s="9">
        <v>26.611000000000001</v>
      </c>
      <c r="P22">
        <f>MRT.Cap!H22</f>
        <v>760</v>
      </c>
      <c r="Q22">
        <f>MRT.Cap!I22</f>
        <v>606</v>
      </c>
      <c r="S22">
        <f t="shared" si="2"/>
        <v>3.6009210526315789E-2</v>
      </c>
      <c r="T22">
        <f t="shared" si="3"/>
        <v>4.3912541254125415E-2</v>
      </c>
    </row>
    <row r="23" spans="1:20" x14ac:dyDescent="0.2">
      <c r="A23" s="2">
        <v>2007</v>
      </c>
      <c r="B23">
        <f t="shared" si="0"/>
        <v>27.125</v>
      </c>
      <c r="C23">
        <f t="shared" si="1"/>
        <v>25.757000000000001</v>
      </c>
      <c r="H23">
        <v>0</v>
      </c>
      <c r="I23">
        <v>1</v>
      </c>
      <c r="J23">
        <v>0</v>
      </c>
      <c r="K23">
        <v>1</v>
      </c>
      <c r="M23">
        <v>27.125</v>
      </c>
      <c r="N23" s="9">
        <v>25.757000000000001</v>
      </c>
      <c r="P23">
        <f>MRT.Cap!H23</f>
        <v>754</v>
      </c>
      <c r="Q23">
        <f>MRT.Cap!I23</f>
        <v>596</v>
      </c>
      <c r="S23">
        <f t="shared" si="2"/>
        <v>3.5974801061007956E-2</v>
      </c>
      <c r="T23">
        <f t="shared" si="3"/>
        <v>4.3216442953020136E-2</v>
      </c>
    </row>
    <row r="24" spans="1:20" x14ac:dyDescent="0.2">
      <c r="A24" s="2">
        <v>2008</v>
      </c>
      <c r="B24">
        <f t="shared" si="0"/>
        <v>26.58</v>
      </c>
      <c r="C24">
        <f t="shared" si="1"/>
        <v>26.673999999999999</v>
      </c>
      <c r="H24">
        <v>0</v>
      </c>
      <c r="I24">
        <v>1</v>
      </c>
      <c r="J24">
        <v>0</v>
      </c>
      <c r="K24">
        <v>1</v>
      </c>
      <c r="M24">
        <v>26.58</v>
      </c>
      <c r="N24" s="9">
        <v>26.673999999999999</v>
      </c>
      <c r="P24">
        <f>MRT.Cap!H24</f>
        <v>763</v>
      </c>
      <c r="Q24">
        <f>MRT.Cap!I24</f>
        <v>599.33333333333337</v>
      </c>
      <c r="S24">
        <f t="shared" si="2"/>
        <v>3.4836173001310616E-2</v>
      </c>
      <c r="T24">
        <f t="shared" si="3"/>
        <v>4.4506117908787536E-2</v>
      </c>
    </row>
    <row r="25" spans="1:20" x14ac:dyDescent="0.2">
      <c r="A25" s="2">
        <v>2009</v>
      </c>
      <c r="B25">
        <f t="shared" si="0"/>
        <v>27.9</v>
      </c>
      <c r="C25">
        <f t="shared" si="1"/>
        <v>27</v>
      </c>
      <c r="H25">
        <v>0</v>
      </c>
      <c r="I25">
        <v>1</v>
      </c>
      <c r="J25">
        <v>0</v>
      </c>
      <c r="K25">
        <v>1</v>
      </c>
      <c r="M25">
        <v>27.9</v>
      </c>
      <c r="N25" s="9">
        <v>27</v>
      </c>
      <c r="P25">
        <f>MRT.Cap!H25</f>
        <v>772</v>
      </c>
      <c r="Q25">
        <f>MRT.Cap!I25</f>
        <v>602.66666666666674</v>
      </c>
      <c r="S25">
        <f t="shared" si="2"/>
        <v>3.6139896373056993E-2</v>
      </c>
      <c r="T25">
        <f t="shared" si="3"/>
        <v>4.4800884955752206E-2</v>
      </c>
    </row>
    <row r="26" spans="1:20" x14ac:dyDescent="0.2">
      <c r="A26" s="2">
        <v>2010</v>
      </c>
      <c r="B26">
        <f t="shared" si="0"/>
        <v>28.42</v>
      </c>
      <c r="C26">
        <f t="shared" si="1"/>
        <v>27</v>
      </c>
      <c r="H26">
        <v>0</v>
      </c>
      <c r="I26">
        <v>1</v>
      </c>
      <c r="J26">
        <v>0</v>
      </c>
      <c r="K26">
        <v>1</v>
      </c>
      <c r="M26">
        <v>28.42</v>
      </c>
      <c r="N26" s="9">
        <v>27</v>
      </c>
      <c r="P26">
        <f>MRT.Cap!H26</f>
        <v>781</v>
      </c>
      <c r="Q26">
        <f>MRT.Cap!I26</f>
        <v>606</v>
      </c>
      <c r="S26">
        <f t="shared" si="2"/>
        <v>3.6389244558258642E-2</v>
      </c>
      <c r="T26">
        <f t="shared" si="3"/>
        <v>4.4554455445544552E-2</v>
      </c>
    </row>
    <row r="27" spans="1:20" x14ac:dyDescent="0.2">
      <c r="A27" s="2">
        <v>2011</v>
      </c>
      <c r="B27">
        <f t="shared" si="0"/>
        <v>30.91</v>
      </c>
      <c r="C27">
        <f t="shared" si="1"/>
        <v>27.93</v>
      </c>
      <c r="H27">
        <v>0</v>
      </c>
      <c r="I27">
        <v>1</v>
      </c>
      <c r="J27">
        <v>0</v>
      </c>
      <c r="K27">
        <v>1</v>
      </c>
      <c r="M27">
        <v>30.91</v>
      </c>
      <c r="N27" s="9">
        <v>27.93</v>
      </c>
      <c r="P27">
        <f>MRT.Cap!H27</f>
        <v>780.4</v>
      </c>
      <c r="Q27">
        <f>MRT.Cap!I27</f>
        <v>594.4</v>
      </c>
      <c r="S27">
        <f t="shared" si="2"/>
        <v>3.9607893388006153E-2</v>
      </c>
      <c r="T27">
        <f t="shared" si="3"/>
        <v>4.6988559892328398E-2</v>
      </c>
    </row>
    <row r="28" spans="1:20" x14ac:dyDescent="0.2">
      <c r="A28" s="2">
        <v>2012</v>
      </c>
      <c r="B28">
        <f t="shared" si="0"/>
        <v>32.659999999999997</v>
      </c>
      <c r="C28">
        <f t="shared" si="1"/>
        <v>27.7</v>
      </c>
      <c r="H28">
        <v>0</v>
      </c>
      <c r="I28">
        <v>1</v>
      </c>
      <c r="J28">
        <v>0</v>
      </c>
      <c r="K28">
        <v>1</v>
      </c>
      <c r="M28">
        <v>32.659999999999997</v>
      </c>
      <c r="N28" s="9">
        <v>27.7</v>
      </c>
      <c r="P28">
        <f>MRT.Cap!H28</f>
        <v>779.8</v>
      </c>
      <c r="Q28">
        <f>MRT.Cap!I28</f>
        <v>582.79999999999995</v>
      </c>
      <c r="S28">
        <f t="shared" si="2"/>
        <v>4.1882533983072581E-2</v>
      </c>
      <c r="T28">
        <f t="shared" si="3"/>
        <v>4.7529169526424164E-2</v>
      </c>
    </row>
    <row r="29" spans="1:20" x14ac:dyDescent="0.2">
      <c r="A29" s="2">
        <v>2013</v>
      </c>
      <c r="B29">
        <f t="shared" si="0"/>
        <v>32.86</v>
      </c>
      <c r="C29">
        <f t="shared" si="1"/>
        <v>27.51</v>
      </c>
      <c r="H29">
        <v>0</v>
      </c>
      <c r="I29">
        <v>1</v>
      </c>
      <c r="J29">
        <v>0</v>
      </c>
      <c r="K29">
        <v>1</v>
      </c>
      <c r="M29">
        <v>32.86</v>
      </c>
      <c r="N29" s="9">
        <v>27.51</v>
      </c>
      <c r="P29">
        <f>MRT.Cap!H29</f>
        <v>779.19999999999993</v>
      </c>
      <c r="Q29">
        <f>MRT.Cap!I29</f>
        <v>571.19999999999993</v>
      </c>
      <c r="S29">
        <f t="shared" si="2"/>
        <v>4.2171457905544149E-2</v>
      </c>
      <c r="T29">
        <f t="shared" si="3"/>
        <v>4.8161764705882362E-2</v>
      </c>
    </row>
    <row r="30" spans="1:20" x14ac:dyDescent="0.2">
      <c r="A30" s="2">
        <v>2014</v>
      </c>
      <c r="B30">
        <f t="shared" si="0"/>
        <v>33.1</v>
      </c>
      <c r="C30">
        <f t="shared" si="1"/>
        <v>27.04</v>
      </c>
      <c r="H30">
        <v>0</v>
      </c>
      <c r="I30">
        <v>1</v>
      </c>
      <c r="J30">
        <v>0</v>
      </c>
      <c r="K30">
        <v>1</v>
      </c>
      <c r="M30">
        <v>33.1</v>
      </c>
      <c r="N30" s="9">
        <v>27.04</v>
      </c>
      <c r="P30">
        <f>MRT.Cap!H30</f>
        <v>778.59999999999991</v>
      </c>
      <c r="Q30">
        <f>MRT.Cap!I30</f>
        <v>559.59999999999991</v>
      </c>
      <c r="S30">
        <f t="shared" si="2"/>
        <v>4.251220138710507E-2</v>
      </c>
      <c r="T30">
        <f t="shared" si="3"/>
        <v>4.8320228734810587E-2</v>
      </c>
    </row>
    <row r="31" spans="1:20" x14ac:dyDescent="0.2">
      <c r="A31" s="2">
        <v>2015</v>
      </c>
      <c r="B31">
        <f t="shared" si="0"/>
        <v>33.119999999999997</v>
      </c>
      <c r="C31">
        <f t="shared" si="1"/>
        <v>27.13</v>
      </c>
      <c r="H31">
        <v>0</v>
      </c>
      <c r="I31">
        <v>1</v>
      </c>
      <c r="J31">
        <v>0</v>
      </c>
      <c r="K31">
        <v>1</v>
      </c>
      <c r="M31">
        <v>33.119999999999997</v>
      </c>
      <c r="N31" s="9">
        <v>27.13</v>
      </c>
      <c r="P31">
        <f>MRT.Cap!H31</f>
        <v>778</v>
      </c>
      <c r="Q31">
        <f>MRT.Cap!I31</f>
        <v>548</v>
      </c>
      <c r="S31">
        <f t="shared" si="2"/>
        <v>4.2570694087403597E-2</v>
      </c>
      <c r="T31">
        <f t="shared" si="3"/>
        <v>4.9507299270072989E-2</v>
      </c>
    </row>
    <row r="32" spans="1:20" x14ac:dyDescent="0.2">
      <c r="A32" s="2">
        <v>2016</v>
      </c>
      <c r="B32">
        <f t="shared" si="0"/>
        <v>32.040999999999997</v>
      </c>
      <c r="C32">
        <f t="shared" si="1"/>
        <v>27.04</v>
      </c>
      <c r="H32">
        <v>0</v>
      </c>
      <c r="I32">
        <v>1</v>
      </c>
      <c r="J32">
        <v>0</v>
      </c>
      <c r="K32">
        <v>1</v>
      </c>
      <c r="M32">
        <v>32.040999999999997</v>
      </c>
      <c r="N32" s="9">
        <v>27.04</v>
      </c>
      <c r="P32">
        <f>MRT.Cap!H32</f>
        <v>768.6</v>
      </c>
      <c r="Q32">
        <f>MRT.Cap!I32</f>
        <v>545.6</v>
      </c>
      <c r="S32">
        <f t="shared" si="2"/>
        <v>4.168748373666406E-2</v>
      </c>
      <c r="T32">
        <f t="shared" si="3"/>
        <v>4.9560117302052779E-2</v>
      </c>
    </row>
    <row r="33" spans="1:20" x14ac:dyDescent="0.2">
      <c r="A33" s="2">
        <v>2017</v>
      </c>
      <c r="B33">
        <f t="shared" si="0"/>
        <v>33.15</v>
      </c>
      <c r="C33">
        <f t="shared" si="1"/>
        <v>27.63</v>
      </c>
      <c r="H33">
        <v>0</v>
      </c>
      <c r="I33">
        <v>1</v>
      </c>
      <c r="J33">
        <v>0</v>
      </c>
      <c r="K33">
        <v>1</v>
      </c>
      <c r="M33">
        <v>33.15</v>
      </c>
      <c r="N33" s="9">
        <v>27.63</v>
      </c>
      <c r="P33">
        <f>MRT.Cap!H33</f>
        <v>759.2</v>
      </c>
      <c r="Q33">
        <f>MRT.Cap!I33</f>
        <v>543.20000000000005</v>
      </c>
      <c r="S33">
        <f t="shared" si="2"/>
        <v>4.366438356164383E-2</v>
      </c>
      <c r="T33">
        <f t="shared" si="3"/>
        <v>5.0865243004418255E-2</v>
      </c>
    </row>
    <row r="34" spans="1:20" x14ac:dyDescent="0.2">
      <c r="A34" s="2">
        <v>2018</v>
      </c>
      <c r="B34">
        <f t="shared" si="0"/>
        <v>34.020000000000003</v>
      </c>
      <c r="C34">
        <f t="shared" si="1"/>
        <v>27.68</v>
      </c>
      <c r="H34">
        <v>0</v>
      </c>
      <c r="I34">
        <v>1</v>
      </c>
      <c r="J34">
        <v>0</v>
      </c>
      <c r="K34">
        <v>1</v>
      </c>
      <c r="M34">
        <v>34.020000000000003</v>
      </c>
      <c r="N34" s="9">
        <v>27.68</v>
      </c>
      <c r="P34">
        <f>MRT.Cap!H34</f>
        <v>749.80000000000007</v>
      </c>
      <c r="Q34">
        <f>MRT.Cap!I34</f>
        <v>540.80000000000007</v>
      </c>
      <c r="S34">
        <f t="shared" si="2"/>
        <v>4.5372099226460391E-2</v>
      </c>
      <c r="T34">
        <f t="shared" si="3"/>
        <v>5.1183431952662714E-2</v>
      </c>
    </row>
    <row r="35" spans="1:20" x14ac:dyDescent="0.2">
      <c r="A35" s="2">
        <v>2019</v>
      </c>
      <c r="B35">
        <f t="shared" si="0"/>
        <v>33.978000000000002</v>
      </c>
      <c r="C35">
        <f t="shared" si="1"/>
        <v>27.172000000000001</v>
      </c>
      <c r="H35">
        <v>0</v>
      </c>
      <c r="I35">
        <v>1</v>
      </c>
      <c r="J35">
        <v>0</v>
      </c>
      <c r="K35">
        <v>1</v>
      </c>
      <c r="M35">
        <v>33.978000000000002</v>
      </c>
      <c r="N35" s="9">
        <v>27.172000000000001</v>
      </c>
      <c r="P35">
        <f>MRT.Cap!H35</f>
        <v>740.40000000000009</v>
      </c>
      <c r="Q35">
        <f>MRT.Cap!I35</f>
        <v>538.40000000000009</v>
      </c>
      <c r="S35">
        <f t="shared" si="2"/>
        <v>4.5891410048622364E-2</v>
      </c>
      <c r="T35">
        <f t="shared" si="3"/>
        <v>5.0468053491827633E-2</v>
      </c>
    </row>
    <row r="36" spans="1:20" x14ac:dyDescent="0.2">
      <c r="A36" s="2">
        <v>2020</v>
      </c>
      <c r="B36">
        <f t="shared" si="0"/>
        <v>33.478000000000002</v>
      </c>
      <c r="C36">
        <f t="shared" si="1"/>
        <v>27.120999999999999</v>
      </c>
      <c r="H36">
        <v>0</v>
      </c>
      <c r="I36">
        <v>1</v>
      </c>
      <c r="J36">
        <v>0</v>
      </c>
      <c r="K36">
        <v>1</v>
      </c>
      <c r="M36">
        <v>33.478000000000002</v>
      </c>
      <c r="N36" s="9">
        <v>27.120999999999999</v>
      </c>
      <c r="P36">
        <f>MRT.Cap!H36</f>
        <v>731</v>
      </c>
      <c r="Q36">
        <f>MRT.Cap!I36</f>
        <v>536</v>
      </c>
      <c r="S36">
        <f t="shared" si="2"/>
        <v>4.5797537619699041E-2</v>
      </c>
      <c r="T36">
        <f t="shared" si="3"/>
        <v>5.0598880597014922E-2</v>
      </c>
    </row>
    <row r="37" spans="1:20" x14ac:dyDescent="0.2">
      <c r="A37" s="2">
        <v>2021</v>
      </c>
      <c r="B37">
        <f t="shared" si="0"/>
        <v>34.159999999999997</v>
      </c>
      <c r="C37">
        <f t="shared" si="1"/>
        <v>29.637</v>
      </c>
      <c r="H37">
        <v>0</v>
      </c>
      <c r="I37">
        <v>1</v>
      </c>
      <c r="J37">
        <v>0</v>
      </c>
      <c r="K37">
        <v>1</v>
      </c>
      <c r="M37">
        <v>34.159999999999997</v>
      </c>
      <c r="N37" s="9">
        <v>29.637</v>
      </c>
    </row>
    <row r="38" spans="1:20" x14ac:dyDescent="0.2">
      <c r="A38" s="2">
        <v>2022</v>
      </c>
    </row>
    <row r="39" spans="1:20" x14ac:dyDescent="0.2">
      <c r="A39" s="4"/>
    </row>
    <row r="40" spans="1:20" x14ac:dyDescent="0.2">
      <c r="A40" s="2" t="s">
        <v>40</v>
      </c>
      <c r="S40">
        <f>AVERAGE(S6:S37)</f>
        <v>3.7168478114331639E-2</v>
      </c>
      <c r="T40">
        <f>AVERAGE(T6:T37)</f>
        <v>4.554907337673017E-2</v>
      </c>
    </row>
    <row r="42" spans="1:20" x14ac:dyDescent="0.2">
      <c r="A42" s="2" t="s">
        <v>85</v>
      </c>
      <c r="S42">
        <f>_xlfn.VAR.S(S6:S37)</f>
        <v>4.057270871215731E-5</v>
      </c>
      <c r="T42">
        <f>_xlfn.VAR.S(T6:T37)</f>
        <v>1.1474216523473327E-5</v>
      </c>
    </row>
    <row r="43" spans="1:20" x14ac:dyDescent="0.2">
      <c r="A43" s="2" t="s">
        <v>86</v>
      </c>
      <c r="S43">
        <f>STDEV(S6:S37)</f>
        <v>6.3696710050172379E-3</v>
      </c>
      <c r="T43">
        <f>STDEV(T6:T37)</f>
        <v>3.3873612921377794E-3</v>
      </c>
    </row>
    <row r="44" spans="1:20" x14ac:dyDescent="0.2">
      <c r="A44" s="2" t="s">
        <v>95</v>
      </c>
      <c r="S44">
        <f>S43/S40</f>
        <v>0.1713729301862694</v>
      </c>
      <c r="T44">
        <f>T43/T40</f>
        <v>7.4367293141649152E-2</v>
      </c>
    </row>
    <row r="45" spans="1:20" x14ac:dyDescent="0.2">
      <c r="A45" s="2" t="s">
        <v>96</v>
      </c>
      <c r="S45">
        <f>AVEDEV(S6:S38)</f>
        <v>5.0043608762135447E-3</v>
      </c>
      <c r="T45">
        <f>AVEDEV(T6:T38)</f>
        <v>2.8262441023310489E-3</v>
      </c>
    </row>
    <row r="46" spans="1:20" x14ac:dyDescent="0.2">
      <c r="A46" s="2" t="s">
        <v>97</v>
      </c>
      <c r="S46">
        <f>S45/S40</f>
        <v>0.13463991882637599</v>
      </c>
      <c r="T46">
        <f>T45/T40</f>
        <v>6.2048333650073839E-2</v>
      </c>
    </row>
    <row r="48" spans="1:20" s="36" customFormat="1" ht="63" customHeight="1" x14ac:dyDescent="0.2">
      <c r="A48" s="11" t="s">
        <v>6</v>
      </c>
      <c r="B48" s="69" t="s">
        <v>310</v>
      </c>
      <c r="C48" s="69"/>
      <c r="D48" s="35"/>
      <c r="G48" s="35"/>
      <c r="L48" s="35"/>
      <c r="M48" s="69" t="s">
        <v>50</v>
      </c>
      <c r="N48" s="69"/>
    </row>
    <row r="49" spans="1:3" x14ac:dyDescent="0.2">
      <c r="A49" s="2" t="s">
        <v>7</v>
      </c>
      <c r="B49" s="79" t="s">
        <v>311</v>
      </c>
      <c r="C49" s="79"/>
    </row>
  </sheetData>
  <mergeCells count="18">
    <mergeCell ref="B49:C49"/>
    <mergeCell ref="H4:I4"/>
    <mergeCell ref="J3:K3"/>
    <mergeCell ref="J4:K4"/>
    <mergeCell ref="M3:N3"/>
    <mergeCell ref="B48:C48"/>
    <mergeCell ref="B3:C3"/>
    <mergeCell ref="E3:F3"/>
    <mergeCell ref="M48:N48"/>
    <mergeCell ref="H1:I1"/>
    <mergeCell ref="M2:N2"/>
    <mergeCell ref="H3:I3"/>
    <mergeCell ref="B2:C2"/>
    <mergeCell ref="M1:T1"/>
    <mergeCell ref="P2:Q2"/>
    <mergeCell ref="P3:Q3"/>
    <mergeCell ref="S2:T2"/>
    <mergeCell ref="S3:T3"/>
  </mergeCells>
  <conditionalFormatting sqref="B49">
    <cfRule type="cellIs" dxfId="9" priority="1" operator="equal">
      <formula>"TODO"</formula>
    </cfRule>
  </conditionalFormatting>
  <conditionalFormatting sqref="G6:H6 L6:M13 G7:G36 H7:H37 L14:L20 L21:M36">
    <cfRule type="cellIs" dxfId="8" priority="3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C6B-2BE7-BE42-8919-677426FDA9A1}">
  <dimension ref="A1:N69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baseColWidth="10" defaultRowHeight="16" x14ac:dyDescent="0.2"/>
  <cols>
    <col min="1" max="1" width="10.83203125" style="2"/>
    <col min="2" max="2" width="13" customWidth="1"/>
    <col min="3" max="3" width="14.5" customWidth="1"/>
    <col min="4" max="4" width="10.83203125" style="6"/>
    <col min="5" max="5" width="13" customWidth="1"/>
    <col min="6" max="6" width="14.5" customWidth="1"/>
    <col min="7" max="7" width="10.83203125" style="7"/>
    <col min="8" max="8" width="13" customWidth="1"/>
    <col min="9" max="9" width="14.5" customWidth="1"/>
    <col min="10" max="10" width="10.83203125" style="7"/>
  </cols>
  <sheetData>
    <row r="1" spans="1:14" s="1" customFormat="1" ht="56" customHeight="1" x14ac:dyDescent="0.2">
      <c r="B1" s="97" t="s">
        <v>130</v>
      </c>
      <c r="C1" s="97"/>
      <c r="D1" s="12"/>
      <c r="E1" s="97" t="s">
        <v>126</v>
      </c>
      <c r="F1" s="97"/>
      <c r="G1" s="12"/>
      <c r="H1" s="97" t="s">
        <v>164</v>
      </c>
      <c r="I1" s="97"/>
      <c r="J1" s="12"/>
    </row>
    <row r="2" spans="1:14" s="15" customFormat="1" ht="34" customHeight="1" x14ac:dyDescent="0.2">
      <c r="B2" s="56" t="s">
        <v>26</v>
      </c>
      <c r="C2" s="56"/>
      <c r="D2" s="19"/>
      <c r="E2" s="56" t="s">
        <v>26</v>
      </c>
      <c r="F2" s="56"/>
      <c r="G2" s="19"/>
      <c r="H2" s="56" t="s">
        <v>26</v>
      </c>
      <c r="I2" s="56"/>
      <c r="J2" s="19"/>
      <c r="N2" s="15" t="s">
        <v>313</v>
      </c>
    </row>
    <row r="3" spans="1:14" s="1" customFormat="1" x14ac:dyDescent="0.2">
      <c r="A3" s="1" t="s">
        <v>52</v>
      </c>
      <c r="B3" s="56" t="s">
        <v>37</v>
      </c>
      <c r="C3" s="56"/>
      <c r="D3" s="12"/>
      <c r="E3" s="56" t="s">
        <v>37</v>
      </c>
      <c r="F3" s="56"/>
      <c r="G3" s="12"/>
      <c r="H3" s="56" t="s">
        <v>37</v>
      </c>
      <c r="I3" s="56"/>
      <c r="J3" s="12"/>
    </row>
    <row r="4" spans="1:14" s="1" customFormat="1" x14ac:dyDescent="0.2">
      <c r="A4" s="1" t="s">
        <v>51</v>
      </c>
      <c r="B4" s="2" t="s">
        <v>203</v>
      </c>
      <c r="C4" s="2" t="s">
        <v>1</v>
      </c>
      <c r="D4" s="12"/>
      <c r="E4" s="2" t="s">
        <v>203</v>
      </c>
      <c r="F4" s="2" t="s">
        <v>1</v>
      </c>
      <c r="G4" s="12"/>
      <c r="H4" s="2" t="s">
        <v>203</v>
      </c>
      <c r="I4" s="2" t="s">
        <v>1</v>
      </c>
      <c r="J4" s="12"/>
    </row>
    <row r="5" spans="1:14" s="15" customFormat="1" ht="34" x14ac:dyDescent="0.2">
      <c r="A5" s="15" t="s">
        <v>90</v>
      </c>
      <c r="B5" s="2"/>
      <c r="C5" s="2"/>
      <c r="D5" s="19"/>
      <c r="E5" s="2" t="s">
        <v>239</v>
      </c>
      <c r="F5" s="2" t="s">
        <v>286</v>
      </c>
      <c r="G5" s="19"/>
      <c r="H5" s="2" t="s">
        <v>287</v>
      </c>
      <c r="I5" s="2" t="s">
        <v>287</v>
      </c>
      <c r="J5" s="19"/>
      <c r="N5" s="15" t="s">
        <v>247</v>
      </c>
    </row>
    <row r="6" spans="1:14" x14ac:dyDescent="0.2">
      <c r="A6" s="2">
        <v>1990</v>
      </c>
      <c r="B6">
        <v>0</v>
      </c>
      <c r="C6">
        <v>0</v>
      </c>
      <c r="D6" s="7"/>
    </row>
    <row r="7" spans="1:14" x14ac:dyDescent="0.2">
      <c r="A7" s="2">
        <v>1991</v>
      </c>
      <c r="D7" s="7"/>
    </row>
    <row r="8" spans="1:14" x14ac:dyDescent="0.2">
      <c r="A8" s="2">
        <v>1992</v>
      </c>
      <c r="D8" s="7"/>
    </row>
    <row r="9" spans="1:14" x14ac:dyDescent="0.2">
      <c r="A9" s="2">
        <v>1993</v>
      </c>
      <c r="D9" s="7"/>
    </row>
    <row r="10" spans="1:14" x14ac:dyDescent="0.2">
      <c r="A10" s="2">
        <v>1994</v>
      </c>
      <c r="D10" s="7"/>
    </row>
    <row r="11" spans="1:14" x14ac:dyDescent="0.2">
      <c r="A11" s="2">
        <v>1995</v>
      </c>
      <c r="D11" s="7"/>
    </row>
    <row r="12" spans="1:14" x14ac:dyDescent="0.2">
      <c r="A12" s="2">
        <v>1996</v>
      </c>
      <c r="D12" s="7"/>
    </row>
    <row r="13" spans="1:14" x14ac:dyDescent="0.2">
      <c r="A13" s="2">
        <v>1997</v>
      </c>
      <c r="D13" s="7"/>
    </row>
    <row r="14" spans="1:14" x14ac:dyDescent="0.2">
      <c r="A14" s="2">
        <v>1998</v>
      </c>
      <c r="D14" s="7"/>
    </row>
    <row r="15" spans="1:14" x14ac:dyDescent="0.2">
      <c r="A15" s="2">
        <v>1999</v>
      </c>
      <c r="D15" s="7"/>
    </row>
    <row r="16" spans="1:14" x14ac:dyDescent="0.2">
      <c r="A16" s="2">
        <v>2000</v>
      </c>
      <c r="D16" s="7"/>
    </row>
    <row r="17" spans="1:5" x14ac:dyDescent="0.2">
      <c r="A17" s="2">
        <v>2001</v>
      </c>
      <c r="D17" s="7"/>
    </row>
    <row r="18" spans="1:5" x14ac:dyDescent="0.2">
      <c r="A18" s="2">
        <v>2002</v>
      </c>
      <c r="D18" s="7"/>
      <c r="E18">
        <f>AVERAGE(1.7,2.4)*1000000</f>
        <v>2049999.9999999998</v>
      </c>
    </row>
    <row r="19" spans="1:5" x14ac:dyDescent="0.2">
      <c r="A19" s="2">
        <v>2003</v>
      </c>
      <c r="D19" s="7"/>
    </row>
    <row r="20" spans="1:5" x14ac:dyDescent="0.2">
      <c r="A20" s="2">
        <v>2004</v>
      </c>
      <c r="D20" s="7"/>
    </row>
    <row r="21" spans="1:5" x14ac:dyDescent="0.2">
      <c r="A21" s="2">
        <v>2005</v>
      </c>
      <c r="D21" s="7"/>
    </row>
    <row r="22" spans="1:5" x14ac:dyDescent="0.2">
      <c r="A22" s="2">
        <v>2006</v>
      </c>
      <c r="D22" s="7"/>
    </row>
    <row r="23" spans="1:5" x14ac:dyDescent="0.2">
      <c r="A23" s="2">
        <v>2007</v>
      </c>
      <c r="D23" s="7"/>
    </row>
    <row r="24" spans="1:5" x14ac:dyDescent="0.2">
      <c r="A24" s="2">
        <v>2008</v>
      </c>
      <c r="D24" s="7"/>
    </row>
    <row r="25" spans="1:5" x14ac:dyDescent="0.2">
      <c r="A25" s="2">
        <v>2009</v>
      </c>
      <c r="D25" s="7"/>
    </row>
    <row r="26" spans="1:5" x14ac:dyDescent="0.2">
      <c r="A26" s="2">
        <v>2010</v>
      </c>
      <c r="D26" s="7"/>
    </row>
    <row r="27" spans="1:5" x14ac:dyDescent="0.2">
      <c r="A27" s="2">
        <v>2011</v>
      </c>
      <c r="D27" s="7"/>
    </row>
    <row r="28" spans="1:5" x14ac:dyDescent="0.2">
      <c r="A28" s="2">
        <v>2012</v>
      </c>
      <c r="D28" s="7"/>
    </row>
    <row r="29" spans="1:5" x14ac:dyDescent="0.2">
      <c r="A29" s="2">
        <v>2013</v>
      </c>
      <c r="D29" s="7"/>
    </row>
    <row r="30" spans="1:5" x14ac:dyDescent="0.2">
      <c r="A30" s="2">
        <v>2014</v>
      </c>
      <c r="D30" s="7"/>
    </row>
    <row r="31" spans="1:5" x14ac:dyDescent="0.2">
      <c r="A31" s="2">
        <v>2015</v>
      </c>
      <c r="D31" s="7"/>
    </row>
    <row r="32" spans="1:5" x14ac:dyDescent="0.2">
      <c r="A32" s="2">
        <v>2016</v>
      </c>
      <c r="D32" s="7"/>
    </row>
    <row r="33" spans="1:14" x14ac:dyDescent="0.2">
      <c r="A33" s="2">
        <v>2017</v>
      </c>
      <c r="D33" s="7"/>
    </row>
    <row r="34" spans="1:14" x14ac:dyDescent="0.2">
      <c r="A34" s="2">
        <v>2018</v>
      </c>
      <c r="D34" s="7"/>
      <c r="N34">
        <v>62792.668635848589</v>
      </c>
    </row>
    <row r="35" spans="1:14" x14ac:dyDescent="0.2">
      <c r="A35" s="2">
        <v>2019</v>
      </c>
      <c r="D35" s="7"/>
      <c r="N35">
        <v>63267.599639257292</v>
      </c>
    </row>
    <row r="36" spans="1:14" x14ac:dyDescent="0.2">
      <c r="A36" s="2">
        <v>2020</v>
      </c>
      <c r="D36" s="7"/>
      <c r="F36">
        <v>680000</v>
      </c>
      <c r="H36">
        <f>I36*1.2</f>
        <v>115200</v>
      </c>
      <c r="I36">
        <f>0.002*120*0.4*1000000</f>
        <v>96000</v>
      </c>
      <c r="N36">
        <v>64172.626749225135</v>
      </c>
    </row>
    <row r="37" spans="1:14" x14ac:dyDescent="0.2">
      <c r="A37" s="2">
        <v>2021</v>
      </c>
      <c r="D37" s="7"/>
      <c r="N37">
        <v>60425.139644398303</v>
      </c>
    </row>
    <row r="38" spans="1:14" x14ac:dyDescent="0.2">
      <c r="A38" s="2">
        <v>2022</v>
      </c>
      <c r="D38" s="7"/>
      <c r="N38">
        <v>62230.982503171967</v>
      </c>
    </row>
    <row r="39" spans="1:14" ht="37" customHeight="1" x14ac:dyDescent="0.2">
      <c r="A39" s="4"/>
      <c r="D39" s="7"/>
    </row>
    <row r="40" spans="1:14" x14ac:dyDescent="0.2">
      <c r="A40" s="2" t="s">
        <v>40</v>
      </c>
      <c r="D40" s="7"/>
    </row>
    <row r="41" spans="1:14" x14ac:dyDescent="0.2">
      <c r="D41" s="7"/>
    </row>
    <row r="42" spans="1:14" x14ac:dyDescent="0.2">
      <c r="A42" s="2" t="s">
        <v>85</v>
      </c>
      <c r="D42" s="7"/>
    </row>
    <row r="43" spans="1:14" x14ac:dyDescent="0.2">
      <c r="A43" s="2" t="s">
        <v>86</v>
      </c>
      <c r="D43" s="7"/>
    </row>
    <row r="44" spans="1:14" x14ac:dyDescent="0.2">
      <c r="A44" s="2" t="s">
        <v>95</v>
      </c>
      <c r="D44" s="7"/>
    </row>
    <row r="45" spans="1:14" x14ac:dyDescent="0.2">
      <c r="A45" s="2" t="s">
        <v>96</v>
      </c>
      <c r="D45" s="7"/>
    </row>
    <row r="46" spans="1:14" x14ac:dyDescent="0.2">
      <c r="A46" s="2" t="s">
        <v>97</v>
      </c>
      <c r="D46" s="7"/>
    </row>
    <row r="47" spans="1:14" x14ac:dyDescent="0.2">
      <c r="D47" s="7"/>
    </row>
    <row r="48" spans="1:14" s="36" customFormat="1" ht="100" customHeight="1" x14ac:dyDescent="0.2">
      <c r="A48" s="11" t="s">
        <v>6</v>
      </c>
      <c r="D48" s="35"/>
      <c r="E48" s="36" t="s">
        <v>237</v>
      </c>
      <c r="F48" s="39" t="s">
        <v>285</v>
      </c>
      <c r="G48" s="35"/>
      <c r="H48" s="36" t="s">
        <v>288</v>
      </c>
      <c r="I48" s="36" t="s">
        <v>312</v>
      </c>
      <c r="J48" s="35"/>
      <c r="N48" s="36" t="s">
        <v>213</v>
      </c>
    </row>
    <row r="49" spans="1:14" s="36" customFormat="1" ht="170" x14ac:dyDescent="0.2">
      <c r="A49" s="11" t="s">
        <v>7</v>
      </c>
      <c r="D49" s="35"/>
      <c r="E49" s="36" t="s">
        <v>238</v>
      </c>
      <c r="F49" s="37" t="s">
        <v>282</v>
      </c>
      <c r="G49" s="35"/>
      <c r="H49" s="37"/>
      <c r="I49" s="37" t="s">
        <v>282</v>
      </c>
      <c r="J49" s="35"/>
      <c r="N49" s="36" t="s">
        <v>214</v>
      </c>
    </row>
    <row r="50" spans="1:14" x14ac:dyDescent="0.2">
      <c r="D50" s="7"/>
    </row>
    <row r="51" spans="1:14" x14ac:dyDescent="0.2">
      <c r="A51"/>
      <c r="D51" s="7"/>
    </row>
    <row r="52" spans="1:14" x14ac:dyDescent="0.2">
      <c r="A52"/>
      <c r="D52" s="7"/>
    </row>
    <row r="53" spans="1:14" x14ac:dyDescent="0.2">
      <c r="A53"/>
      <c r="D53" s="7"/>
    </row>
    <row r="54" spans="1:14" x14ac:dyDescent="0.2">
      <c r="A54"/>
      <c r="D54" s="7"/>
    </row>
    <row r="55" spans="1:14" x14ac:dyDescent="0.2">
      <c r="A55"/>
      <c r="D55" s="7"/>
    </row>
    <row r="56" spans="1:14" x14ac:dyDescent="0.2">
      <c r="A56"/>
      <c r="D56" s="7"/>
    </row>
    <row r="57" spans="1:14" x14ac:dyDescent="0.2">
      <c r="A57"/>
      <c r="D57" s="7"/>
    </row>
    <row r="58" spans="1:14" x14ac:dyDescent="0.2">
      <c r="A58"/>
      <c r="D58" s="7"/>
    </row>
    <row r="59" spans="1:14" x14ac:dyDescent="0.2">
      <c r="A59"/>
      <c r="D59" s="7"/>
    </row>
    <row r="60" spans="1:14" x14ac:dyDescent="0.2">
      <c r="A60"/>
      <c r="D60" s="7"/>
    </row>
    <row r="61" spans="1:14" x14ac:dyDescent="0.2">
      <c r="A61"/>
      <c r="D61" s="7"/>
    </row>
    <row r="62" spans="1:14" x14ac:dyDescent="0.2">
      <c r="A62"/>
      <c r="D62" s="7"/>
    </row>
    <row r="63" spans="1:14" x14ac:dyDescent="0.2">
      <c r="A63"/>
      <c r="D63" s="7"/>
    </row>
    <row r="64" spans="1:14" x14ac:dyDescent="0.2">
      <c r="A64"/>
      <c r="D64" s="7"/>
    </row>
    <row r="65" spans="4:10" customFormat="1" x14ac:dyDescent="0.2">
      <c r="D65" s="7"/>
      <c r="G65" s="7"/>
      <c r="J65" s="7"/>
    </row>
    <row r="66" spans="4:10" customFormat="1" x14ac:dyDescent="0.2">
      <c r="D66" s="7"/>
      <c r="G66" s="7"/>
      <c r="J66" s="7"/>
    </row>
    <row r="67" spans="4:10" customFormat="1" x14ac:dyDescent="0.2">
      <c r="D67" s="7"/>
      <c r="G67" s="7"/>
      <c r="J67" s="7"/>
    </row>
    <row r="68" spans="4:10" customFormat="1" x14ac:dyDescent="0.2">
      <c r="D68" s="7"/>
      <c r="G68" s="7"/>
      <c r="J68" s="7"/>
    </row>
    <row r="69" spans="4:10" customFormat="1" x14ac:dyDescent="0.2">
      <c r="D69" s="7"/>
      <c r="G69" s="7"/>
      <c r="J69" s="7"/>
    </row>
  </sheetData>
  <mergeCells count="9">
    <mergeCell ref="B3:C3"/>
    <mergeCell ref="E3:F3"/>
    <mergeCell ref="H3:I3"/>
    <mergeCell ref="E2:F2"/>
    <mergeCell ref="B1:C1"/>
    <mergeCell ref="E1:F1"/>
    <mergeCell ref="H2:I2"/>
    <mergeCell ref="H1:I1"/>
    <mergeCell ref="B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76C-C84C-0045-9C12-30927A155EFF}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24" max="24" width="12.1640625" bestFit="1" customWidth="1"/>
  </cols>
  <sheetData>
    <row r="1" spans="1:24" s="2" customFormat="1" ht="55" customHeight="1" x14ac:dyDescent="0.2">
      <c r="B1" s="82" t="s">
        <v>242</v>
      </c>
      <c r="C1" s="82"/>
      <c r="D1" s="6"/>
      <c r="E1" s="82" t="s">
        <v>243</v>
      </c>
      <c r="F1" s="82"/>
      <c r="G1" s="6"/>
      <c r="O1" s="34"/>
      <c r="P1" s="34"/>
    </row>
    <row r="2" spans="1:24" s="2" customFormat="1" x14ac:dyDescent="0.2">
      <c r="B2" s="56" t="s">
        <v>26</v>
      </c>
      <c r="C2" s="56"/>
      <c r="D2" s="6"/>
      <c r="E2" s="56" t="s">
        <v>26</v>
      </c>
      <c r="F2" s="56"/>
      <c r="G2" s="6"/>
      <c r="I2" s="56" t="s">
        <v>245</v>
      </c>
      <c r="J2" s="56"/>
      <c r="L2" s="56" t="s">
        <v>91</v>
      </c>
      <c r="M2" s="56"/>
      <c r="O2" s="56" t="s">
        <v>204</v>
      </c>
      <c r="P2" s="56"/>
      <c r="R2" s="56" t="s">
        <v>108</v>
      </c>
      <c r="S2" s="56"/>
    </row>
    <row r="3" spans="1:24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I3" s="56" t="s">
        <v>37</v>
      </c>
      <c r="J3" s="56"/>
      <c r="L3" s="56" t="s">
        <v>37</v>
      </c>
      <c r="M3" s="56"/>
      <c r="O3" s="56" t="s">
        <v>171</v>
      </c>
      <c r="P3" s="56"/>
      <c r="R3" s="56" t="s">
        <v>171</v>
      </c>
      <c r="S3" s="56"/>
    </row>
    <row r="4" spans="1:24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I4" s="2" t="s">
        <v>203</v>
      </c>
      <c r="J4" s="2" t="s">
        <v>1</v>
      </c>
      <c r="L4" s="2" t="s">
        <v>203</v>
      </c>
      <c r="M4" s="2" t="s">
        <v>1</v>
      </c>
      <c r="O4" s="2" t="s">
        <v>203</v>
      </c>
      <c r="P4" s="2" t="s">
        <v>1</v>
      </c>
      <c r="R4" s="2" t="s">
        <v>203</v>
      </c>
      <c r="S4" s="2" t="s">
        <v>1</v>
      </c>
    </row>
    <row r="5" spans="1:24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  <c r="I5" s="2" t="s">
        <v>205</v>
      </c>
      <c r="J5" s="2" t="s">
        <v>205</v>
      </c>
      <c r="L5" s="2" t="s">
        <v>91</v>
      </c>
      <c r="M5" s="2" t="s">
        <v>91</v>
      </c>
      <c r="O5" s="11" t="s">
        <v>101</v>
      </c>
      <c r="P5" s="11" t="s">
        <v>101</v>
      </c>
      <c r="R5" s="2" t="s">
        <v>244</v>
      </c>
      <c r="S5" s="2" t="s">
        <v>244</v>
      </c>
    </row>
    <row r="6" spans="1:24" x14ac:dyDescent="0.2">
      <c r="A6" s="2">
        <v>1990</v>
      </c>
      <c r="B6">
        <f>L6/I6</f>
        <v>5.584804928131417E-2</v>
      </c>
      <c r="C6">
        <f>M6/J6</f>
        <v>9.0619047619047627E-2</v>
      </c>
      <c r="I6">
        <v>487</v>
      </c>
      <c r="J6">
        <v>315</v>
      </c>
      <c r="L6">
        <f>MRT.Act!B6</f>
        <v>27.198</v>
      </c>
      <c r="M6">
        <f>MRT.Act!C6</f>
        <v>28.545000000000002</v>
      </c>
    </row>
    <row r="7" spans="1:24" x14ac:dyDescent="0.2">
      <c r="A7" s="2">
        <v>1991</v>
      </c>
      <c r="L7">
        <f>MRT.Act!B7</f>
        <v>27.818999999999999</v>
      </c>
      <c r="M7">
        <f>MRT.Act!C7</f>
        <v>29.184000000000001</v>
      </c>
    </row>
    <row r="8" spans="1:24" x14ac:dyDescent="0.2">
      <c r="A8" s="2">
        <v>1992</v>
      </c>
      <c r="L8">
        <f>MRT.Act!B8</f>
        <v>28.466999999999999</v>
      </c>
      <c r="M8">
        <f>MRT.Act!C8</f>
        <v>30.334</v>
      </c>
    </row>
    <row r="9" spans="1:24" x14ac:dyDescent="0.2">
      <c r="A9" s="2">
        <v>1993</v>
      </c>
      <c r="L9">
        <f>MRT.Act!B9</f>
        <v>27.332999999999998</v>
      </c>
      <c r="M9">
        <f>MRT.Act!C9</f>
        <v>29.074000000000002</v>
      </c>
    </row>
    <row r="10" spans="1:24" x14ac:dyDescent="0.2">
      <c r="A10" s="2">
        <v>1994</v>
      </c>
      <c r="L10">
        <f>MRT.Act!B10</f>
        <v>27.434999999999999</v>
      </c>
      <c r="M10">
        <f>MRT.Act!C10</f>
        <v>28.789000000000001</v>
      </c>
    </row>
    <row r="11" spans="1:24" x14ac:dyDescent="0.2">
      <c r="A11" s="2">
        <v>1995</v>
      </c>
      <c r="B11">
        <f>L11/I11</f>
        <v>6.0410480349344979E-2</v>
      </c>
      <c r="C11">
        <f>M11/J11</f>
        <v>9.3483552631578953E-2</v>
      </c>
      <c r="I11">
        <v>458</v>
      </c>
      <c r="J11">
        <v>304</v>
      </c>
      <c r="L11">
        <f>MRT.Act!B11</f>
        <v>27.667999999999999</v>
      </c>
      <c r="M11">
        <f>MRT.Act!C11</f>
        <v>28.419</v>
      </c>
    </row>
    <row r="12" spans="1:24" x14ac:dyDescent="0.2">
      <c r="A12" s="2">
        <v>1996</v>
      </c>
      <c r="L12">
        <f>MRT.Act!B12</f>
        <v>27.59</v>
      </c>
      <c r="M12">
        <f>MRT.Act!C12</f>
        <v>28.722000000000001</v>
      </c>
    </row>
    <row r="13" spans="1:24" x14ac:dyDescent="0.2">
      <c r="A13" s="2">
        <v>1997</v>
      </c>
      <c r="L13">
        <f>MRT.Act!B13</f>
        <v>27.157</v>
      </c>
      <c r="M13">
        <f>MRT.Act!C13</f>
        <v>29.08</v>
      </c>
    </row>
    <row r="14" spans="1:24" x14ac:dyDescent="0.2">
      <c r="A14" s="2">
        <v>1998</v>
      </c>
      <c r="E14">
        <f>R14</f>
        <v>26.464369180546797</v>
      </c>
      <c r="F14">
        <f>S14</f>
        <v>18.448792644731078</v>
      </c>
      <c r="L14">
        <f>MRT.Act!B14</f>
        <v>26.957000000000001</v>
      </c>
      <c r="M14">
        <f>MRT.Act!C14</f>
        <v>29.693000000000001</v>
      </c>
      <c r="O14">
        <v>713.4</v>
      </c>
      <c r="P14">
        <v>547.79999999999995</v>
      </c>
      <c r="R14">
        <f>O14/L14</f>
        <v>26.464369180546797</v>
      </c>
      <c r="S14">
        <f>P14/M14</f>
        <v>18.448792644731078</v>
      </c>
      <c r="W14">
        <v>2</v>
      </c>
      <c r="X14">
        <f>W14*3.6</f>
        <v>7.2</v>
      </c>
    </row>
    <row r="15" spans="1:24" x14ac:dyDescent="0.2">
      <c r="A15" s="2">
        <v>1999</v>
      </c>
      <c r="E15">
        <f t="shared" ref="E15:F37" si="0">R15</f>
        <v>27.048963720789761</v>
      </c>
      <c r="F15">
        <f t="shared" ref="F15:F35" si="1">S15</f>
        <v>17.634709587123865</v>
      </c>
      <c r="L15">
        <f>MRT.Act!B15</f>
        <v>26.489000000000001</v>
      </c>
      <c r="M15">
        <f>MRT.Act!C15</f>
        <v>30.009</v>
      </c>
      <c r="O15">
        <v>716.5</v>
      </c>
      <c r="P15">
        <v>529.20000000000005</v>
      </c>
      <c r="R15">
        <f t="shared" ref="R15:S37" si="2">O15/L15</f>
        <v>27.048963720789761</v>
      </c>
      <c r="S15">
        <f t="shared" si="2"/>
        <v>17.634709587123865</v>
      </c>
    </row>
    <row r="16" spans="1:24" x14ac:dyDescent="0.2">
      <c r="A16" s="2">
        <v>2000</v>
      </c>
      <c r="B16">
        <f>L16/I16</f>
        <v>6.1177419354838704E-2</v>
      </c>
      <c r="C16">
        <f>M16/J16</f>
        <v>9.170404984423676E-2</v>
      </c>
      <c r="E16">
        <f t="shared" si="0"/>
        <v>26.974501901999929</v>
      </c>
      <c r="F16">
        <f t="shared" si="1"/>
        <v>17.946801644189282</v>
      </c>
      <c r="I16">
        <v>434</v>
      </c>
      <c r="J16">
        <v>321</v>
      </c>
      <c r="L16">
        <f>MRT.Act!B16</f>
        <v>26.550999999999998</v>
      </c>
      <c r="M16">
        <f>MRT.Act!C16</f>
        <v>29.437000000000001</v>
      </c>
      <c r="O16">
        <v>716.2</v>
      </c>
      <c r="P16">
        <v>528.29999999999995</v>
      </c>
      <c r="R16">
        <f t="shared" si="2"/>
        <v>26.974501901999929</v>
      </c>
      <c r="S16">
        <f t="shared" si="2"/>
        <v>17.946801644189282</v>
      </c>
      <c r="X16">
        <f>X14^-1</f>
        <v>0.1388888888888889</v>
      </c>
    </row>
    <row r="17" spans="1:19" x14ac:dyDescent="0.2">
      <c r="A17" s="2">
        <v>2001</v>
      </c>
      <c r="B17">
        <f t="shared" ref="B17:B37" si="3">L17/I17</f>
        <v>6.0601293103448278E-2</v>
      </c>
      <c r="C17">
        <f t="shared" ref="C17:C37" si="4">M17/J17</f>
        <v>8.8368749999999996E-2</v>
      </c>
      <c r="E17">
        <f t="shared" si="0"/>
        <v>27.266261246843772</v>
      </c>
      <c r="F17">
        <f t="shared" si="1"/>
        <v>18.625786830751824</v>
      </c>
      <c r="I17">
        <v>464</v>
      </c>
      <c r="J17">
        <v>320</v>
      </c>
      <c r="L17">
        <f>MRT.Act!B17</f>
        <v>28.119</v>
      </c>
      <c r="M17">
        <f>MRT.Act!C17</f>
        <v>28.277999999999999</v>
      </c>
      <c r="O17">
        <v>766.7</v>
      </c>
      <c r="P17">
        <v>526.70000000000005</v>
      </c>
      <c r="R17">
        <f t="shared" si="2"/>
        <v>27.266261246843772</v>
      </c>
      <c r="S17">
        <f t="shared" si="2"/>
        <v>18.625786830751824</v>
      </c>
    </row>
    <row r="18" spans="1:19" x14ac:dyDescent="0.2">
      <c r="A18" s="2">
        <v>2002</v>
      </c>
      <c r="B18">
        <f t="shared" si="3"/>
        <v>6.1449115044247785E-2</v>
      </c>
      <c r="C18">
        <f t="shared" si="4"/>
        <v>8.9836065573770482E-2</v>
      </c>
      <c r="E18">
        <f t="shared" si="0"/>
        <v>27.816381638163818</v>
      </c>
      <c r="F18">
        <f t="shared" si="1"/>
        <v>19.273722627737229</v>
      </c>
      <c r="I18">
        <v>452</v>
      </c>
      <c r="J18">
        <v>305</v>
      </c>
      <c r="L18">
        <f>MRT.Act!B18</f>
        <v>27.774999999999999</v>
      </c>
      <c r="M18">
        <f>MRT.Act!C18</f>
        <v>27.4</v>
      </c>
      <c r="O18">
        <v>772.6</v>
      </c>
      <c r="P18">
        <v>528.1</v>
      </c>
      <c r="R18">
        <f t="shared" si="2"/>
        <v>27.816381638163818</v>
      </c>
      <c r="S18">
        <f t="shared" si="2"/>
        <v>19.273722627737229</v>
      </c>
    </row>
    <row r="19" spans="1:19" x14ac:dyDescent="0.2">
      <c r="A19" s="2">
        <v>2003</v>
      </c>
      <c r="B19">
        <f t="shared" si="3"/>
        <v>6.1153172866520784E-2</v>
      </c>
      <c r="C19">
        <f t="shared" si="4"/>
        <v>8.9016393442622951E-2</v>
      </c>
      <c r="E19">
        <f t="shared" si="0"/>
        <v>27.877768633484813</v>
      </c>
      <c r="F19">
        <f t="shared" si="1"/>
        <v>19.127071823204417</v>
      </c>
      <c r="I19">
        <v>457</v>
      </c>
      <c r="J19">
        <v>305</v>
      </c>
      <c r="L19">
        <f>MRT.Act!B19</f>
        <v>27.946999999999999</v>
      </c>
      <c r="M19">
        <f>MRT.Act!C19</f>
        <v>27.15</v>
      </c>
      <c r="O19">
        <v>779.1</v>
      </c>
      <c r="P19" s="9">
        <v>519.29999999999995</v>
      </c>
      <c r="R19">
        <f t="shared" si="2"/>
        <v>27.877768633484813</v>
      </c>
      <c r="S19">
        <f t="shared" si="2"/>
        <v>19.127071823204417</v>
      </c>
    </row>
    <row r="20" spans="1:19" x14ac:dyDescent="0.2">
      <c r="A20" s="2">
        <v>2004</v>
      </c>
      <c r="B20">
        <f t="shared" si="3"/>
        <v>8.9935760171306209E-2</v>
      </c>
      <c r="C20">
        <f t="shared" si="4"/>
        <v>0.1</v>
      </c>
      <c r="E20">
        <f t="shared" si="0"/>
        <v>18.780952380952378</v>
      </c>
      <c r="F20">
        <f t="shared" si="1"/>
        <v>17.826666666666664</v>
      </c>
      <c r="I20">
        <v>467</v>
      </c>
      <c r="J20">
        <v>300</v>
      </c>
      <c r="L20">
        <f>MRT.Act!B20</f>
        <v>42</v>
      </c>
      <c r="M20">
        <f>MRT.Act!C20</f>
        <v>30</v>
      </c>
      <c r="O20">
        <v>788.8</v>
      </c>
      <c r="P20" s="9">
        <v>534.79999999999995</v>
      </c>
      <c r="R20">
        <f t="shared" si="2"/>
        <v>18.780952380952378</v>
      </c>
      <c r="S20">
        <f t="shared" si="2"/>
        <v>17.826666666666664</v>
      </c>
    </row>
    <row r="21" spans="1:19" x14ac:dyDescent="0.2">
      <c r="A21" s="2">
        <v>2005</v>
      </c>
      <c r="B21">
        <f t="shared" si="3"/>
        <v>5.9012793176972278E-2</v>
      </c>
      <c r="C21">
        <f t="shared" si="4"/>
        <v>8.9571428571428566E-2</v>
      </c>
      <c r="E21">
        <f t="shared" si="0"/>
        <v>28.236441810889907</v>
      </c>
      <c r="F21">
        <f t="shared" si="1"/>
        <v>19.813805125922631</v>
      </c>
      <c r="I21">
        <v>469</v>
      </c>
      <c r="J21">
        <v>301</v>
      </c>
      <c r="L21">
        <f>MRT.Act!B21</f>
        <v>27.677</v>
      </c>
      <c r="M21">
        <f>MRT.Act!C21</f>
        <v>26.960999999999999</v>
      </c>
      <c r="O21">
        <v>781.5</v>
      </c>
      <c r="P21">
        <v>534.20000000000005</v>
      </c>
      <c r="R21">
        <f t="shared" si="2"/>
        <v>28.236441810889907</v>
      </c>
      <c r="S21">
        <f t="shared" si="2"/>
        <v>19.813805125922631</v>
      </c>
    </row>
    <row r="22" spans="1:19" x14ac:dyDescent="0.2">
      <c r="A22" s="2">
        <v>2006</v>
      </c>
      <c r="B22">
        <f t="shared" si="3"/>
        <v>5.9364425162689805E-2</v>
      </c>
      <c r="C22">
        <f t="shared" si="4"/>
        <v>8.6964052287581695E-2</v>
      </c>
      <c r="E22">
        <f t="shared" si="0"/>
        <v>28.735338181020936</v>
      </c>
      <c r="F22">
        <f t="shared" si="1"/>
        <v>20.096952388110179</v>
      </c>
      <c r="I22">
        <v>461</v>
      </c>
      <c r="J22">
        <v>306</v>
      </c>
      <c r="L22">
        <f>MRT.Act!B22</f>
        <v>27.367000000000001</v>
      </c>
      <c r="M22">
        <f>MRT.Act!C22</f>
        <v>26.611000000000001</v>
      </c>
      <c r="O22">
        <v>786.4</v>
      </c>
      <c r="P22">
        <v>534.79999999999995</v>
      </c>
      <c r="R22">
        <f t="shared" si="2"/>
        <v>28.735338181020936</v>
      </c>
      <c r="S22">
        <f t="shared" si="2"/>
        <v>20.096952388110179</v>
      </c>
    </row>
    <row r="23" spans="1:19" x14ac:dyDescent="0.2">
      <c r="A23" s="2">
        <v>2007</v>
      </c>
      <c r="B23">
        <f t="shared" si="3"/>
        <v>5.7225738396624475E-2</v>
      </c>
      <c r="C23">
        <f t="shared" si="4"/>
        <v>8.8208904109589051E-2</v>
      </c>
      <c r="E23">
        <f t="shared" si="0"/>
        <v>30.326267281105991</v>
      </c>
      <c r="F23">
        <f t="shared" si="1"/>
        <v>19.944092867958226</v>
      </c>
      <c r="I23">
        <v>474</v>
      </c>
      <c r="J23">
        <v>292</v>
      </c>
      <c r="L23">
        <f>MRT.Act!B23</f>
        <v>27.125</v>
      </c>
      <c r="M23">
        <f>MRT.Act!C23</f>
        <v>25.757000000000001</v>
      </c>
      <c r="O23">
        <v>822.6</v>
      </c>
      <c r="P23">
        <v>513.70000000000005</v>
      </c>
      <c r="R23">
        <f t="shared" si="2"/>
        <v>30.326267281105991</v>
      </c>
      <c r="S23">
        <f t="shared" si="2"/>
        <v>19.944092867958226</v>
      </c>
    </row>
    <row r="24" spans="1:19" x14ac:dyDescent="0.2">
      <c r="A24" s="2">
        <v>2008</v>
      </c>
      <c r="B24">
        <f t="shared" si="3"/>
        <v>5.6194503171247356E-2</v>
      </c>
      <c r="C24">
        <f t="shared" si="4"/>
        <v>9.0420338983050852E-2</v>
      </c>
      <c r="E24">
        <f t="shared" si="0"/>
        <v>33.976674191121148</v>
      </c>
      <c r="F24">
        <f t="shared" si="1"/>
        <v>19.794556496963335</v>
      </c>
      <c r="I24">
        <v>473</v>
      </c>
      <c r="J24">
        <v>295</v>
      </c>
      <c r="L24">
        <f>MRT.Act!B24</f>
        <v>26.58</v>
      </c>
      <c r="M24">
        <f>MRT.Act!C24</f>
        <v>26.673999999999999</v>
      </c>
      <c r="O24">
        <v>903.1</v>
      </c>
      <c r="P24">
        <v>528</v>
      </c>
      <c r="R24">
        <f t="shared" si="2"/>
        <v>33.976674191121148</v>
      </c>
      <c r="S24">
        <f t="shared" si="2"/>
        <v>19.794556496963335</v>
      </c>
    </row>
    <row r="25" spans="1:19" x14ac:dyDescent="0.2">
      <c r="A25" s="2">
        <v>2009</v>
      </c>
      <c r="B25">
        <f t="shared" si="3"/>
        <v>5.5247524752475248E-2</v>
      </c>
      <c r="C25">
        <f t="shared" si="4"/>
        <v>9.152542372881356E-2</v>
      </c>
      <c r="E25">
        <f t="shared" si="0"/>
        <v>33.498207885304659</v>
      </c>
      <c r="F25">
        <f t="shared" si="1"/>
        <v>18.829629629629629</v>
      </c>
      <c r="I25">
        <v>505</v>
      </c>
      <c r="J25">
        <v>295</v>
      </c>
      <c r="L25">
        <f>MRT.Act!B25</f>
        <v>27.9</v>
      </c>
      <c r="M25">
        <f>MRT.Act!C25</f>
        <v>27</v>
      </c>
      <c r="O25">
        <v>934.6</v>
      </c>
      <c r="P25">
        <v>508.4</v>
      </c>
      <c r="R25">
        <f t="shared" si="2"/>
        <v>33.498207885304659</v>
      </c>
      <c r="S25">
        <f t="shared" si="2"/>
        <v>18.829629629629629</v>
      </c>
    </row>
    <row r="26" spans="1:19" x14ac:dyDescent="0.2">
      <c r="A26" s="2">
        <v>2010</v>
      </c>
      <c r="B26">
        <f t="shared" si="3"/>
        <v>5.5399610136452247E-2</v>
      </c>
      <c r="C26">
        <f t="shared" si="4"/>
        <v>8.6261980830670923E-2</v>
      </c>
      <c r="E26">
        <f t="shared" si="0"/>
        <v>34.419422941590426</v>
      </c>
      <c r="F26">
        <f t="shared" si="1"/>
        <v>19.085185185185182</v>
      </c>
      <c r="I26">
        <v>513</v>
      </c>
      <c r="J26">
        <v>313</v>
      </c>
      <c r="L26">
        <f>MRT.Act!B26</f>
        <v>28.42</v>
      </c>
      <c r="M26">
        <f>MRT.Act!C26</f>
        <v>27</v>
      </c>
      <c r="O26">
        <v>978.2</v>
      </c>
      <c r="P26">
        <v>515.29999999999995</v>
      </c>
      <c r="R26">
        <f t="shared" si="2"/>
        <v>34.419422941590426</v>
      </c>
      <c r="S26">
        <f t="shared" si="2"/>
        <v>19.085185185185182</v>
      </c>
    </row>
    <row r="27" spans="1:19" x14ac:dyDescent="0.2">
      <c r="A27" s="2">
        <v>2011</v>
      </c>
      <c r="B27">
        <f t="shared" si="3"/>
        <v>5.8876190476190478E-2</v>
      </c>
      <c r="C27">
        <f t="shared" si="4"/>
        <v>9.1874999999999998E-2</v>
      </c>
      <c r="E27">
        <f t="shared" si="0"/>
        <v>34.636040116467157</v>
      </c>
      <c r="F27">
        <f t="shared" si="1"/>
        <v>18.549946294307198</v>
      </c>
      <c r="I27">
        <v>525</v>
      </c>
      <c r="J27">
        <v>304</v>
      </c>
      <c r="L27">
        <f>MRT.Act!B27</f>
        <v>30.91</v>
      </c>
      <c r="M27">
        <f>MRT.Act!C27</f>
        <v>27.93</v>
      </c>
      <c r="O27">
        <v>1070.5999999999999</v>
      </c>
      <c r="P27">
        <v>518.1</v>
      </c>
      <c r="R27">
        <f t="shared" si="2"/>
        <v>34.636040116467157</v>
      </c>
      <c r="S27">
        <f t="shared" si="2"/>
        <v>18.549946294307198</v>
      </c>
    </row>
    <row r="28" spans="1:19" x14ac:dyDescent="0.2">
      <c r="A28" s="2">
        <v>2012</v>
      </c>
      <c r="B28">
        <f t="shared" si="3"/>
        <v>5.7907801418439708E-2</v>
      </c>
      <c r="C28">
        <f t="shared" si="4"/>
        <v>9.7535211267605629E-2</v>
      </c>
      <c r="E28">
        <f t="shared" si="0"/>
        <v>34.608083282302516</v>
      </c>
      <c r="F28">
        <f t="shared" si="1"/>
        <v>18.267148014440433</v>
      </c>
      <c r="I28">
        <v>564</v>
      </c>
      <c r="J28">
        <v>284</v>
      </c>
      <c r="L28">
        <f>MRT.Act!B28</f>
        <v>32.659999999999997</v>
      </c>
      <c r="M28">
        <f>MRT.Act!C28</f>
        <v>27.7</v>
      </c>
      <c r="O28">
        <v>1130.3</v>
      </c>
      <c r="P28">
        <v>506</v>
      </c>
      <c r="R28">
        <f t="shared" si="2"/>
        <v>34.608083282302516</v>
      </c>
      <c r="S28">
        <f t="shared" si="2"/>
        <v>18.267148014440433</v>
      </c>
    </row>
    <row r="29" spans="1:19" x14ac:dyDescent="0.2">
      <c r="A29" s="2">
        <v>2013</v>
      </c>
      <c r="B29">
        <f t="shared" si="3"/>
        <v>5.6363636363636366E-2</v>
      </c>
      <c r="C29">
        <f t="shared" si="4"/>
        <v>9.6526315789473696E-2</v>
      </c>
      <c r="E29">
        <f t="shared" si="0"/>
        <v>34.083992696287282</v>
      </c>
      <c r="F29">
        <f t="shared" si="1"/>
        <v>18.745910577971646</v>
      </c>
      <c r="I29">
        <v>583</v>
      </c>
      <c r="J29">
        <v>285</v>
      </c>
      <c r="L29">
        <f>MRT.Act!B29</f>
        <v>32.86</v>
      </c>
      <c r="M29">
        <f>MRT.Act!C29</f>
        <v>27.51</v>
      </c>
      <c r="O29">
        <v>1120</v>
      </c>
      <c r="P29">
        <v>515.70000000000005</v>
      </c>
      <c r="R29">
        <f t="shared" si="2"/>
        <v>34.083992696287282</v>
      </c>
      <c r="S29">
        <f t="shared" si="2"/>
        <v>18.745910577971646</v>
      </c>
    </row>
    <row r="30" spans="1:19" x14ac:dyDescent="0.2">
      <c r="A30" s="2">
        <v>2014</v>
      </c>
      <c r="B30">
        <f t="shared" si="3"/>
        <v>5.766550522648084E-2</v>
      </c>
      <c r="C30">
        <f t="shared" si="4"/>
        <v>0.10014814814814814</v>
      </c>
      <c r="E30">
        <f t="shared" si="0"/>
        <v>34.148036253776432</v>
      </c>
      <c r="F30">
        <f t="shared" si="1"/>
        <v>18.857248520710058</v>
      </c>
      <c r="I30">
        <v>574</v>
      </c>
      <c r="J30">
        <v>270</v>
      </c>
      <c r="L30">
        <f>MRT.Act!B30</f>
        <v>33.1</v>
      </c>
      <c r="M30">
        <f>MRT.Act!C30</f>
        <v>27.04</v>
      </c>
      <c r="O30">
        <v>1130.3</v>
      </c>
      <c r="P30">
        <v>509.9</v>
      </c>
      <c r="R30">
        <f t="shared" si="2"/>
        <v>34.148036253776432</v>
      </c>
      <c r="S30">
        <f t="shared" si="2"/>
        <v>18.857248520710058</v>
      </c>
    </row>
    <row r="31" spans="1:19" x14ac:dyDescent="0.2">
      <c r="A31" s="2">
        <v>2015</v>
      </c>
      <c r="B31">
        <f t="shared" si="3"/>
        <v>5.7499999999999996E-2</v>
      </c>
      <c r="C31">
        <f t="shared" si="4"/>
        <v>9.9742647058823519E-2</v>
      </c>
      <c r="E31">
        <f t="shared" si="0"/>
        <v>34.821859903381643</v>
      </c>
      <c r="F31">
        <f t="shared" si="1"/>
        <v>19.030593438997418</v>
      </c>
      <c r="I31">
        <v>576</v>
      </c>
      <c r="J31">
        <v>272</v>
      </c>
      <c r="L31">
        <f>MRT.Act!B31</f>
        <v>33.119999999999997</v>
      </c>
      <c r="M31">
        <f>MRT.Act!C31</f>
        <v>27.13</v>
      </c>
      <c r="O31">
        <v>1153.3</v>
      </c>
      <c r="P31">
        <v>516.29999999999995</v>
      </c>
      <c r="R31">
        <f t="shared" si="2"/>
        <v>34.821859903381643</v>
      </c>
      <c r="S31">
        <f t="shared" si="2"/>
        <v>19.030593438997418</v>
      </c>
    </row>
    <row r="32" spans="1:19" x14ac:dyDescent="0.2">
      <c r="A32" s="2">
        <v>2016</v>
      </c>
      <c r="B32">
        <f t="shared" si="3"/>
        <v>5.582055749128919E-2</v>
      </c>
      <c r="C32">
        <f t="shared" si="4"/>
        <v>9.9778597785977863E-2</v>
      </c>
      <c r="E32">
        <f t="shared" si="0"/>
        <v>36.203614119409508</v>
      </c>
      <c r="F32">
        <f t="shared" si="1"/>
        <v>19.304733727810653</v>
      </c>
      <c r="I32">
        <v>574</v>
      </c>
      <c r="J32">
        <v>271</v>
      </c>
      <c r="L32">
        <f>MRT.Act!B32</f>
        <v>32.040999999999997</v>
      </c>
      <c r="M32">
        <f>MRT.Act!C32</f>
        <v>27.04</v>
      </c>
      <c r="O32">
        <v>1160</v>
      </c>
      <c r="P32">
        <v>522</v>
      </c>
      <c r="R32">
        <f t="shared" si="2"/>
        <v>36.203614119409508</v>
      </c>
      <c r="S32">
        <f t="shared" si="2"/>
        <v>19.304733727810653</v>
      </c>
    </row>
    <row r="33" spans="1:19" x14ac:dyDescent="0.2">
      <c r="A33" s="2">
        <v>2017</v>
      </c>
      <c r="B33">
        <f t="shared" si="3"/>
        <v>5.9302325581395345E-2</v>
      </c>
      <c r="C33">
        <f t="shared" si="4"/>
        <v>9.8678571428571421E-2</v>
      </c>
      <c r="E33">
        <f t="shared" si="0"/>
        <v>35.508295625942687</v>
      </c>
      <c r="F33">
        <f t="shared" si="1"/>
        <v>19.312341657618532</v>
      </c>
      <c r="I33">
        <v>559</v>
      </c>
      <c r="J33">
        <v>280</v>
      </c>
      <c r="L33">
        <f>MRT.Act!B33</f>
        <v>33.15</v>
      </c>
      <c r="M33">
        <f>MRT.Act!C33</f>
        <v>27.63</v>
      </c>
      <c r="O33">
        <v>1177.0999999999999</v>
      </c>
      <c r="P33">
        <v>533.6</v>
      </c>
      <c r="R33">
        <f t="shared" si="2"/>
        <v>35.508295625942687</v>
      </c>
      <c r="S33">
        <f t="shared" si="2"/>
        <v>19.312341657618532</v>
      </c>
    </row>
    <row r="34" spans="1:19" x14ac:dyDescent="0.2">
      <c r="A34" s="2">
        <v>2018</v>
      </c>
      <c r="B34">
        <f t="shared" si="3"/>
        <v>5.9684210526315798E-2</v>
      </c>
      <c r="C34">
        <f t="shared" si="4"/>
        <v>0.10214022140221402</v>
      </c>
      <c r="E34">
        <f t="shared" si="0"/>
        <v>34.526748971193413</v>
      </c>
      <c r="F34">
        <f t="shared" si="1"/>
        <v>19.179913294797686</v>
      </c>
      <c r="I34">
        <v>570</v>
      </c>
      <c r="J34">
        <v>271</v>
      </c>
      <c r="L34">
        <f>MRT.Act!B34</f>
        <v>34.020000000000003</v>
      </c>
      <c r="M34">
        <f>MRT.Act!C34</f>
        <v>27.68</v>
      </c>
      <c r="O34">
        <v>1174.5999999999999</v>
      </c>
      <c r="P34">
        <v>530.9</v>
      </c>
      <c r="R34">
        <f t="shared" si="2"/>
        <v>34.526748971193413</v>
      </c>
      <c r="S34">
        <f t="shared" si="2"/>
        <v>19.179913294797686</v>
      </c>
    </row>
    <row r="35" spans="1:19" x14ac:dyDescent="0.2">
      <c r="A35" s="2">
        <v>2019</v>
      </c>
      <c r="B35">
        <f t="shared" si="3"/>
        <v>6.1443037974683548E-2</v>
      </c>
      <c r="C35">
        <f t="shared" si="4"/>
        <v>0.10491119691119691</v>
      </c>
      <c r="E35">
        <f t="shared" si="0"/>
        <v>34.896109247159927</v>
      </c>
      <c r="F35">
        <f t="shared" si="1"/>
        <v>19.067422346533196</v>
      </c>
      <c r="I35">
        <v>553</v>
      </c>
      <c r="J35">
        <v>259</v>
      </c>
      <c r="L35">
        <f>MRT.Act!B35</f>
        <v>33.978000000000002</v>
      </c>
      <c r="M35">
        <f>MRT.Act!C35</f>
        <v>27.172000000000001</v>
      </c>
      <c r="O35">
        <v>1185.7</v>
      </c>
      <c r="P35">
        <v>518.1</v>
      </c>
      <c r="R35">
        <f t="shared" si="2"/>
        <v>34.896109247159927</v>
      </c>
      <c r="S35">
        <f t="shared" si="2"/>
        <v>19.067422346533196</v>
      </c>
    </row>
    <row r="36" spans="1:19" x14ac:dyDescent="0.2">
      <c r="A36" s="2">
        <v>2020</v>
      </c>
      <c r="B36">
        <f t="shared" si="3"/>
        <v>6.1315018315018316E-2</v>
      </c>
      <c r="C36">
        <f t="shared" si="4"/>
        <v>0.10980161943319837</v>
      </c>
      <c r="E36">
        <f t="shared" si="0"/>
        <v>23.609534619750281</v>
      </c>
      <c r="F36">
        <f t="shared" si="0"/>
        <v>14.243575089414108</v>
      </c>
      <c r="I36">
        <v>546</v>
      </c>
      <c r="J36">
        <v>247</v>
      </c>
      <c r="L36">
        <f>MRT.Act!B36</f>
        <v>33.478000000000002</v>
      </c>
      <c r="M36">
        <f>MRT.Act!C36</f>
        <v>27.120999999999999</v>
      </c>
      <c r="O36">
        <v>790.4</v>
      </c>
      <c r="P36">
        <v>386.3</v>
      </c>
      <c r="R36">
        <f t="shared" si="2"/>
        <v>23.609534619750281</v>
      </c>
      <c r="S36">
        <f t="shared" si="2"/>
        <v>14.243575089414108</v>
      </c>
    </row>
    <row r="37" spans="1:19" x14ac:dyDescent="0.2">
      <c r="A37" s="2">
        <v>2021</v>
      </c>
      <c r="B37">
        <f t="shared" si="3"/>
        <v>6.1549549549549547E-2</v>
      </c>
      <c r="C37">
        <f t="shared" si="4"/>
        <v>0.10546975088967972</v>
      </c>
      <c r="E37">
        <f t="shared" si="0"/>
        <v>23.834894613583142</v>
      </c>
      <c r="F37">
        <f t="shared" si="0"/>
        <v>14.532510038128015</v>
      </c>
      <c r="I37">
        <v>555</v>
      </c>
      <c r="J37">
        <v>281</v>
      </c>
      <c r="L37">
        <f>MRT.Act!B37</f>
        <v>34.159999999999997</v>
      </c>
      <c r="M37">
        <f>MRT.Act!C37</f>
        <v>29.637</v>
      </c>
      <c r="O37">
        <v>814.2</v>
      </c>
      <c r="P37">
        <v>430.7</v>
      </c>
      <c r="R37">
        <f t="shared" si="2"/>
        <v>23.834894613583142</v>
      </c>
      <c r="S37">
        <f t="shared" si="2"/>
        <v>14.532510038128015</v>
      </c>
    </row>
    <row r="38" spans="1:19" x14ac:dyDescent="0.2">
      <c r="A38" s="4"/>
    </row>
    <row r="39" spans="1:19" x14ac:dyDescent="0.2">
      <c r="A39" s="2" t="s">
        <v>40</v>
      </c>
    </row>
    <row r="40" spans="1:19" x14ac:dyDescent="0.2">
      <c r="O40">
        <f>AVERAGE(O6:O37)</f>
        <v>931.92499999999984</v>
      </c>
      <c r="P40">
        <f>AVERAGE(P6:P37)</f>
        <v>514.00833333333333</v>
      </c>
    </row>
    <row r="41" spans="1:19" x14ac:dyDescent="0.2">
      <c r="A41" s="2" t="s">
        <v>85</v>
      </c>
    </row>
    <row r="42" spans="1:19" x14ac:dyDescent="0.2">
      <c r="A42" s="2" t="s">
        <v>86</v>
      </c>
      <c r="O42">
        <f>_xlfn.VAR.S(O6:O37)</f>
        <v>32503.673260869702</v>
      </c>
      <c r="P42">
        <f>_xlfn.VAR.S(P6:P37)</f>
        <v>1198.7468840579709</v>
      </c>
    </row>
    <row r="43" spans="1:19" x14ac:dyDescent="0.2">
      <c r="A43" s="2" t="s">
        <v>95</v>
      </c>
      <c r="O43">
        <f>STDEV(O6:O37)</f>
        <v>180.28775127797701</v>
      </c>
      <c r="P43">
        <f>STDEV(P6:P37)</f>
        <v>34.622924256306987</v>
      </c>
    </row>
    <row r="44" spans="1:19" x14ac:dyDescent="0.2">
      <c r="A44" s="2" t="s">
        <v>96</v>
      </c>
      <c r="O44">
        <f>O43/O40</f>
        <v>0.19345736113740594</v>
      </c>
      <c r="P44">
        <f>P43/P40</f>
        <v>6.7358682750876905E-2</v>
      </c>
    </row>
    <row r="45" spans="1:19" x14ac:dyDescent="0.2">
      <c r="A45" s="2" t="s">
        <v>97</v>
      </c>
      <c r="O45">
        <f>AVEDEV(O6:O38)</f>
        <v>163.62708333333333</v>
      </c>
      <c r="P45">
        <f>AVEDEV(P6:P38)</f>
        <v>19.087500000000002</v>
      </c>
    </row>
    <row r="46" spans="1:19" x14ac:dyDescent="0.2">
      <c r="O46">
        <f>O45/O40</f>
        <v>0.1755796693224598</v>
      </c>
      <c r="P46">
        <f>P45/P40</f>
        <v>3.7134611955059099E-2</v>
      </c>
    </row>
    <row r="48" spans="1:19" x14ac:dyDescent="0.2">
      <c r="O48" s="69" t="s">
        <v>109</v>
      </c>
      <c r="P48" s="69"/>
    </row>
  </sheetData>
  <mergeCells count="15">
    <mergeCell ref="O48:P48"/>
    <mergeCell ref="O2:P2"/>
    <mergeCell ref="O3:P3"/>
    <mergeCell ref="B1:C1"/>
    <mergeCell ref="E1:F1"/>
    <mergeCell ref="B2:C2"/>
    <mergeCell ref="E2:F2"/>
    <mergeCell ref="B3:C3"/>
    <mergeCell ref="E3:F3"/>
    <mergeCell ref="R2:S2"/>
    <mergeCell ref="R3:S3"/>
    <mergeCell ref="L2:M2"/>
    <mergeCell ref="L3:M3"/>
    <mergeCell ref="I2:J2"/>
    <mergeCell ref="I3:J3"/>
  </mergeCells>
  <conditionalFormatting sqref="E6:F37">
    <cfRule type="cellIs" dxfId="7" priority="3" operator="lessThan">
      <formula>0</formula>
    </cfRule>
  </conditionalFormatting>
  <conditionalFormatting sqref="O14:O2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047-D280-F74C-B51D-AE1E014F3194}">
  <dimension ref="A1:CI5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41" sqref="O41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3" max="13" width="10.83203125" style="7"/>
    <col min="17" max="17" width="10.83203125" style="7"/>
    <col min="21" max="21" width="10.83203125" style="7"/>
    <col min="22" max="22" width="12.6640625" bestFit="1" customWidth="1"/>
    <col min="24" max="24" width="12.5" bestFit="1" customWidth="1"/>
    <col min="27" max="27" width="13.5" bestFit="1" customWidth="1"/>
  </cols>
  <sheetData>
    <row r="1" spans="1:87" s="2" customFormat="1" ht="55" customHeight="1" x14ac:dyDescent="0.2">
      <c r="B1" s="82" t="s">
        <v>179</v>
      </c>
      <c r="C1" s="82"/>
      <c r="D1" s="82"/>
      <c r="E1" s="43"/>
      <c r="F1" s="82" t="s">
        <v>199</v>
      </c>
      <c r="G1" s="82"/>
      <c r="H1" s="82"/>
      <c r="I1" s="43"/>
      <c r="J1" s="82" t="s">
        <v>2</v>
      </c>
      <c r="K1" s="82"/>
      <c r="L1" s="82"/>
      <c r="M1" s="6"/>
      <c r="N1" s="82" t="s">
        <v>46</v>
      </c>
      <c r="O1" s="82"/>
      <c r="P1" s="82"/>
      <c r="Q1" s="6"/>
      <c r="R1" s="82" t="s">
        <v>250</v>
      </c>
      <c r="S1" s="82"/>
      <c r="T1" s="82"/>
      <c r="U1" s="41"/>
      <c r="V1" s="99" t="s">
        <v>251</v>
      </c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1"/>
      <c r="AQ1" s="42"/>
      <c r="AR1" s="42"/>
      <c r="AS1" s="42"/>
      <c r="AT1" s="42"/>
      <c r="AU1" s="42"/>
      <c r="AV1" s="42"/>
      <c r="AW1" s="42"/>
      <c r="AX1" s="42"/>
      <c r="AZ1" s="99" t="s">
        <v>252</v>
      </c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1"/>
    </row>
    <row r="2" spans="1:87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6"/>
      <c r="N2" s="56" t="s">
        <v>67</v>
      </c>
      <c r="O2" s="56"/>
      <c r="P2" s="56"/>
      <c r="Q2" s="6"/>
      <c r="R2" s="56" t="s">
        <v>67</v>
      </c>
      <c r="S2" s="56"/>
      <c r="T2" s="56"/>
      <c r="U2" s="12"/>
      <c r="V2" s="98" t="s">
        <v>43</v>
      </c>
      <c r="W2" s="98"/>
      <c r="X2" s="98"/>
      <c r="AA2" s="98" t="s">
        <v>66</v>
      </c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1"/>
      <c r="AR2" s="56" t="s">
        <v>256</v>
      </c>
      <c r="AS2" s="56"/>
      <c r="AT2" s="56"/>
      <c r="AU2" s="56"/>
      <c r="AV2" s="1" t="s">
        <v>59</v>
      </c>
      <c r="AW2" s="1"/>
      <c r="AX2" s="1"/>
      <c r="AZ2" s="98" t="s">
        <v>78</v>
      </c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E2" s="56" t="s">
        <v>256</v>
      </c>
      <c r="CF2" s="56"/>
      <c r="CG2" s="56"/>
      <c r="CH2" s="56"/>
      <c r="CI2" s="1" t="s">
        <v>59</v>
      </c>
    </row>
    <row r="3" spans="1:8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N3" s="2" t="s">
        <v>14</v>
      </c>
      <c r="O3" s="2" t="s">
        <v>37</v>
      </c>
      <c r="P3" s="2" t="s">
        <v>17</v>
      </c>
      <c r="Q3" s="6"/>
      <c r="R3" s="2" t="s">
        <v>14</v>
      </c>
      <c r="S3" s="2" t="s">
        <v>37</v>
      </c>
      <c r="T3" s="2" t="s">
        <v>17</v>
      </c>
      <c r="U3" s="6"/>
      <c r="V3" s="2" t="s">
        <v>58</v>
      </c>
      <c r="W3" s="2" t="s">
        <v>58</v>
      </c>
      <c r="X3" s="2" t="s">
        <v>58</v>
      </c>
      <c r="AA3" s="2" t="s">
        <v>59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59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59</v>
      </c>
      <c r="AL3" s="2" t="s">
        <v>14</v>
      </c>
      <c r="AM3" s="2" t="s">
        <v>15</v>
      </c>
      <c r="AN3" s="2" t="s">
        <v>16</v>
      </c>
      <c r="AO3" s="2" t="s">
        <v>17</v>
      </c>
      <c r="AR3" s="2" t="s">
        <v>14</v>
      </c>
      <c r="AS3" s="2" t="s">
        <v>37</v>
      </c>
      <c r="AT3" s="2" t="s">
        <v>17</v>
      </c>
      <c r="AU3" s="2" t="s">
        <v>16</v>
      </c>
      <c r="AV3" s="2" t="s">
        <v>58</v>
      </c>
      <c r="AZ3" s="2" t="s">
        <v>14</v>
      </c>
      <c r="BA3" s="2" t="s">
        <v>72</v>
      </c>
      <c r="BB3" s="2" t="s">
        <v>73</v>
      </c>
      <c r="BC3" s="2" t="s">
        <v>15</v>
      </c>
      <c r="BD3" s="2" t="s">
        <v>74</v>
      </c>
      <c r="BE3" s="2" t="s">
        <v>56</v>
      </c>
      <c r="BF3" s="2" t="s">
        <v>16</v>
      </c>
      <c r="BG3" s="2" t="s">
        <v>17</v>
      </c>
      <c r="BH3" s="2" t="s">
        <v>75</v>
      </c>
      <c r="BI3" s="2" t="s">
        <v>76</v>
      </c>
      <c r="BJ3" s="2" t="s">
        <v>14</v>
      </c>
      <c r="BK3" s="2" t="s">
        <v>72</v>
      </c>
      <c r="BL3" s="2" t="s">
        <v>73</v>
      </c>
      <c r="BM3" s="2" t="s">
        <v>15</v>
      </c>
      <c r="BN3" s="2" t="s">
        <v>74</v>
      </c>
      <c r="BO3" s="2" t="s">
        <v>56</v>
      </c>
      <c r="BP3" s="2" t="s">
        <v>16</v>
      </c>
      <c r="BQ3" s="2" t="s">
        <v>17</v>
      </c>
      <c r="BR3" s="2" t="s">
        <v>75</v>
      </c>
      <c r="BS3" s="2" t="s">
        <v>76</v>
      </c>
      <c r="BT3" s="2" t="s">
        <v>14</v>
      </c>
      <c r="BU3" s="2" t="s">
        <v>72</v>
      </c>
      <c r="BV3" s="2" t="s">
        <v>73</v>
      </c>
      <c r="BW3" s="2" t="s">
        <v>15</v>
      </c>
      <c r="BX3" s="2" t="s">
        <v>74</v>
      </c>
      <c r="BY3" s="2" t="s">
        <v>56</v>
      </c>
      <c r="BZ3" s="2" t="s">
        <v>16</v>
      </c>
      <c r="CA3" s="2" t="s">
        <v>17</v>
      </c>
      <c r="CB3" s="2" t="s">
        <v>75</v>
      </c>
      <c r="CC3" s="2" t="s">
        <v>76</v>
      </c>
      <c r="CD3" s="2" t="s">
        <v>35</v>
      </c>
      <c r="CE3" s="2" t="s">
        <v>14</v>
      </c>
      <c r="CF3" s="2" t="s">
        <v>37</v>
      </c>
      <c r="CG3" s="2" t="s">
        <v>17</v>
      </c>
      <c r="CH3" s="2" t="s">
        <v>16</v>
      </c>
      <c r="CI3" s="2" t="s">
        <v>58</v>
      </c>
    </row>
    <row r="4" spans="1:8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N4" s="2" t="s">
        <v>254</v>
      </c>
      <c r="O4" s="2" t="s">
        <v>253</v>
      </c>
      <c r="P4" s="2" t="s">
        <v>255</v>
      </c>
      <c r="Q4" s="6"/>
      <c r="R4" s="2" t="s">
        <v>254</v>
      </c>
      <c r="S4" s="2" t="s">
        <v>253</v>
      </c>
      <c r="T4" s="2" t="s">
        <v>255</v>
      </c>
      <c r="U4" s="6"/>
      <c r="V4" s="2" t="s">
        <v>57</v>
      </c>
      <c r="W4" s="2" t="s">
        <v>3</v>
      </c>
      <c r="X4" s="2" t="s">
        <v>65</v>
      </c>
      <c r="Y4" s="2" t="s">
        <v>59</v>
      </c>
      <c r="AA4" s="56" t="s">
        <v>61</v>
      </c>
      <c r="AB4" s="56"/>
      <c r="AC4" s="56"/>
      <c r="AD4" s="56"/>
      <c r="AE4" s="56"/>
      <c r="AF4" s="56" t="s">
        <v>62</v>
      </c>
      <c r="AG4" s="56"/>
      <c r="AH4" s="56"/>
      <c r="AI4" s="56"/>
      <c r="AJ4" s="56"/>
      <c r="AK4" s="56" t="s">
        <v>3</v>
      </c>
      <c r="AL4" s="56"/>
      <c r="AM4" s="56"/>
      <c r="AN4" s="56"/>
      <c r="AO4" s="56"/>
      <c r="AP4" s="2" t="s">
        <v>18</v>
      </c>
      <c r="AR4" s="2" t="s">
        <v>254</v>
      </c>
      <c r="AS4" s="2" t="s">
        <v>253</v>
      </c>
      <c r="AT4" s="2" t="s">
        <v>255</v>
      </c>
      <c r="AU4" s="2" t="s">
        <v>258</v>
      </c>
      <c r="AV4" s="2" t="s">
        <v>257</v>
      </c>
      <c r="AZ4" s="56" t="s">
        <v>60</v>
      </c>
      <c r="BA4" s="56"/>
      <c r="BB4" s="56"/>
      <c r="BC4" s="56"/>
      <c r="BD4" s="56"/>
      <c r="BE4" s="56"/>
      <c r="BF4" s="56"/>
      <c r="BG4" s="56"/>
      <c r="BH4" s="56"/>
      <c r="BI4" s="56"/>
      <c r="BJ4" s="56" t="s">
        <v>77</v>
      </c>
      <c r="BK4" s="56"/>
      <c r="BL4" s="56"/>
      <c r="BM4" s="56"/>
      <c r="BN4" s="56"/>
      <c r="BO4" s="56"/>
      <c r="BP4" s="56"/>
      <c r="BQ4" s="56"/>
      <c r="BR4" s="56"/>
      <c r="BS4" s="56"/>
      <c r="BT4" s="56" t="s">
        <v>3</v>
      </c>
      <c r="BU4" s="56"/>
      <c r="BV4" s="56"/>
      <c r="BW4" s="56"/>
      <c r="BX4" s="56"/>
      <c r="BY4" s="56"/>
      <c r="BZ4" s="56"/>
      <c r="CA4" s="56"/>
      <c r="CB4" s="56"/>
      <c r="CC4" s="56"/>
      <c r="CE4" s="2" t="s">
        <v>254</v>
      </c>
      <c r="CF4" s="2" t="s">
        <v>253</v>
      </c>
      <c r="CG4" s="2" t="s">
        <v>255</v>
      </c>
      <c r="CH4" s="2" t="s">
        <v>258</v>
      </c>
      <c r="CI4" s="2" t="s">
        <v>257</v>
      </c>
    </row>
    <row r="5" spans="1:87" s="2" customFormat="1" ht="17" x14ac:dyDescent="0.2">
      <c r="A5" s="11" t="s">
        <v>90</v>
      </c>
      <c r="B5" s="2" t="s">
        <v>200</v>
      </c>
      <c r="C5" s="2" t="s">
        <v>200</v>
      </c>
      <c r="D5" s="2" t="s">
        <v>200</v>
      </c>
      <c r="E5" s="6"/>
      <c r="F5" s="2" t="s">
        <v>92</v>
      </c>
      <c r="G5" s="2" t="s">
        <v>92</v>
      </c>
      <c r="H5" s="2" t="s">
        <v>92</v>
      </c>
      <c r="I5" s="6"/>
      <c r="J5" s="2" t="s">
        <v>92</v>
      </c>
      <c r="K5" s="2" t="s">
        <v>92</v>
      </c>
      <c r="L5" s="2" t="s">
        <v>92</v>
      </c>
      <c r="M5" s="6"/>
      <c r="N5" s="2" t="s">
        <v>92</v>
      </c>
      <c r="O5" s="2" t="s">
        <v>92</v>
      </c>
      <c r="P5" s="2" t="s">
        <v>92</v>
      </c>
      <c r="Q5" s="6"/>
      <c r="R5" s="2" t="s">
        <v>92</v>
      </c>
      <c r="S5" s="2" t="s">
        <v>92</v>
      </c>
      <c r="T5" s="2" t="s">
        <v>92</v>
      </c>
      <c r="U5" s="6"/>
      <c r="V5" s="2" t="s">
        <v>92</v>
      </c>
      <c r="W5" s="2" t="s">
        <v>92</v>
      </c>
      <c r="X5" s="2" t="s">
        <v>92</v>
      </c>
      <c r="Y5" s="2" t="s">
        <v>92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E5" s="2" t="s">
        <v>92</v>
      </c>
      <c r="CF5" s="2" t="s">
        <v>92</v>
      </c>
      <c r="CG5" s="2" t="s">
        <v>92</v>
      </c>
      <c r="CH5" s="2" t="s">
        <v>92</v>
      </c>
      <c r="CI5" s="2" t="s">
        <v>92</v>
      </c>
    </row>
    <row r="6" spans="1:87" x14ac:dyDescent="0.2">
      <c r="A6" s="2">
        <v>1990</v>
      </c>
      <c r="B6">
        <v>15</v>
      </c>
      <c r="C6">
        <v>15</v>
      </c>
      <c r="D6">
        <v>15</v>
      </c>
      <c r="F6">
        <f>MAX(MAX(N6:N38)*1.2,300)</f>
        <v>1599.6</v>
      </c>
      <c r="G6">
        <f t="shared" ref="G6:H6" si="0">MAX(MAX(O6:O38)*1.2,300)</f>
        <v>300</v>
      </c>
      <c r="H6">
        <f t="shared" si="0"/>
        <v>300</v>
      </c>
      <c r="J6">
        <f>AR6</f>
        <v>7318</v>
      </c>
      <c r="K6">
        <f t="shared" ref="K6:L6" si="1">AS6</f>
        <v>16</v>
      </c>
      <c r="L6">
        <f t="shared" si="1"/>
        <v>5046</v>
      </c>
      <c r="V6">
        <v>4218</v>
      </c>
      <c r="W6">
        <v>5908</v>
      </c>
      <c r="X6">
        <v>2305</v>
      </c>
      <c r="Y6">
        <f t="shared" ref="Y6:Y23" si="2">SUM($V6:$X6)</f>
        <v>12431</v>
      </c>
      <c r="AA6">
        <v>448</v>
      </c>
      <c r="AB6">
        <v>439</v>
      </c>
      <c r="AC6">
        <v>8</v>
      </c>
      <c r="AD6">
        <v>0</v>
      </c>
      <c r="AE6">
        <v>1</v>
      </c>
      <c r="AF6">
        <v>6026</v>
      </c>
      <c r="AG6">
        <v>5954</v>
      </c>
      <c r="AH6">
        <v>5</v>
      </c>
      <c r="AI6">
        <v>2</v>
      </c>
      <c r="AJ6">
        <v>65</v>
      </c>
      <c r="AK6">
        <v>5908</v>
      </c>
      <c r="AL6">
        <v>925</v>
      </c>
      <c r="AM6">
        <v>3</v>
      </c>
      <c r="AN6">
        <v>0</v>
      </c>
      <c r="AO6">
        <v>4980</v>
      </c>
      <c r="AP6">
        <v>12382</v>
      </c>
      <c r="AR6">
        <f>SUM(AB6,AG6,AL6)</f>
        <v>7318</v>
      </c>
      <c r="AS6">
        <f>SUM(AC6,AH6,AM6)</f>
        <v>16</v>
      </c>
      <c r="AT6">
        <f>SUM(AE6,AJ6,AO6)</f>
        <v>5046</v>
      </c>
      <c r="AU6">
        <f>SUM(AD6,AI6,AN6)</f>
        <v>2</v>
      </c>
      <c r="AV6">
        <f>SUM(AR6:AU6)</f>
        <v>12382</v>
      </c>
    </row>
    <row r="7" spans="1:87" x14ac:dyDescent="0.2">
      <c r="A7" s="2">
        <v>1991</v>
      </c>
      <c r="J7">
        <f t="shared" ref="J7:J37" si="3">AR7</f>
        <v>7486</v>
      </c>
      <c r="K7">
        <f t="shared" ref="K7:K37" si="4">AS7</f>
        <v>31</v>
      </c>
      <c r="L7">
        <f t="shared" ref="L7:L37" si="5">AT7</f>
        <v>5206</v>
      </c>
      <c r="N7">
        <f>J7-J6</f>
        <v>168</v>
      </c>
      <c r="O7">
        <f t="shared" ref="O7:P20" si="6">K7-K6</f>
        <v>15</v>
      </c>
      <c r="P7">
        <f t="shared" si="6"/>
        <v>160</v>
      </c>
      <c r="R7">
        <f t="shared" ref="R7:R37" si="7">J6+N7-J7</f>
        <v>0</v>
      </c>
      <c r="S7">
        <f t="shared" ref="S7:S37" si="8">K6+O7-K7</f>
        <v>0</v>
      </c>
      <c r="T7">
        <f t="shared" ref="T7:T37" si="9">L6+P7-L7</f>
        <v>0</v>
      </c>
      <c r="V7">
        <v>4403</v>
      </c>
      <c r="W7">
        <v>6120</v>
      </c>
      <c r="X7">
        <v>2246</v>
      </c>
      <c r="Y7">
        <f t="shared" si="2"/>
        <v>12769</v>
      </c>
      <c r="AA7">
        <v>473</v>
      </c>
      <c r="AB7">
        <v>457</v>
      </c>
      <c r="AC7">
        <v>15</v>
      </c>
      <c r="AD7">
        <v>0</v>
      </c>
      <c r="AE7">
        <v>1</v>
      </c>
      <c r="AF7">
        <v>6132</v>
      </c>
      <c r="AG7">
        <v>6038</v>
      </c>
      <c r="AH7">
        <v>13</v>
      </c>
      <c r="AI7">
        <v>2</v>
      </c>
      <c r="AJ7">
        <v>79</v>
      </c>
      <c r="AK7">
        <v>6120</v>
      </c>
      <c r="AL7">
        <v>991</v>
      </c>
      <c r="AM7">
        <v>3</v>
      </c>
      <c r="AN7">
        <v>0</v>
      </c>
      <c r="AO7">
        <v>5126</v>
      </c>
      <c r="AP7">
        <v>12725</v>
      </c>
      <c r="AR7">
        <f t="shared" ref="AR7:AR37" si="10">SUM(AB7,AG7,AL7)</f>
        <v>7486</v>
      </c>
      <c r="AS7">
        <f t="shared" ref="AS7:AS37" si="11">SUM(AC7,AH7,AM7)</f>
        <v>31</v>
      </c>
      <c r="AT7">
        <f t="shared" ref="AT7:AT37" si="12">SUM(AE7,AJ7,AO7)</f>
        <v>5206</v>
      </c>
      <c r="AU7">
        <f t="shared" ref="AU7:AU37" si="13">SUM(AD7,AI7,AN7)</f>
        <v>2</v>
      </c>
      <c r="AV7">
        <f t="shared" ref="AV7:AV37" si="14">SUM(AR7:AU7)</f>
        <v>12725</v>
      </c>
    </row>
    <row r="8" spans="1:87" x14ac:dyDescent="0.2">
      <c r="A8" s="2">
        <v>1992</v>
      </c>
      <c r="J8">
        <f t="shared" si="3"/>
        <v>7516</v>
      </c>
      <c r="K8">
        <f t="shared" si="4"/>
        <v>30</v>
      </c>
      <c r="L8">
        <f t="shared" si="5"/>
        <v>5349</v>
      </c>
      <c r="N8">
        <f t="shared" ref="N8:N20" si="15">J8-J7</f>
        <v>30</v>
      </c>
      <c r="O8">
        <v>0</v>
      </c>
      <c r="P8">
        <f t="shared" si="6"/>
        <v>143</v>
      </c>
      <c r="R8">
        <f t="shared" si="7"/>
        <v>0</v>
      </c>
      <c r="S8">
        <f t="shared" si="8"/>
        <v>1</v>
      </c>
      <c r="T8">
        <f t="shared" si="9"/>
        <v>0</v>
      </c>
      <c r="V8">
        <v>4382</v>
      </c>
      <c r="W8">
        <v>6283</v>
      </c>
      <c r="X8">
        <v>2279</v>
      </c>
      <c r="Y8">
        <f t="shared" si="2"/>
        <v>12944</v>
      </c>
      <c r="AA8">
        <v>485</v>
      </c>
      <c r="AB8">
        <v>469</v>
      </c>
      <c r="AC8">
        <v>15</v>
      </c>
      <c r="AD8">
        <v>0</v>
      </c>
      <c r="AE8">
        <v>1</v>
      </c>
      <c r="AF8">
        <v>6132</v>
      </c>
      <c r="AG8">
        <v>6026</v>
      </c>
      <c r="AH8">
        <v>11</v>
      </c>
      <c r="AI8">
        <v>4</v>
      </c>
      <c r="AJ8">
        <v>91</v>
      </c>
      <c r="AK8">
        <v>6283</v>
      </c>
      <c r="AL8">
        <v>1021</v>
      </c>
      <c r="AM8">
        <v>4</v>
      </c>
      <c r="AN8">
        <v>1</v>
      </c>
      <c r="AO8">
        <v>5257</v>
      </c>
      <c r="AP8">
        <v>12900</v>
      </c>
      <c r="AR8">
        <f t="shared" si="10"/>
        <v>7516</v>
      </c>
      <c r="AS8">
        <f t="shared" si="11"/>
        <v>30</v>
      </c>
      <c r="AT8">
        <f t="shared" si="12"/>
        <v>5349</v>
      </c>
      <c r="AU8">
        <f t="shared" si="13"/>
        <v>5</v>
      </c>
      <c r="AV8">
        <f t="shared" si="14"/>
        <v>12900</v>
      </c>
    </row>
    <row r="9" spans="1:87" x14ac:dyDescent="0.2">
      <c r="A9" s="2">
        <v>1993</v>
      </c>
      <c r="J9">
        <f t="shared" si="3"/>
        <v>7563</v>
      </c>
      <c r="K9">
        <f t="shared" si="4"/>
        <v>27</v>
      </c>
      <c r="L9">
        <f t="shared" si="5"/>
        <v>5496</v>
      </c>
      <c r="N9">
        <f t="shared" si="15"/>
        <v>47</v>
      </c>
      <c r="O9">
        <v>0</v>
      </c>
      <c r="P9">
        <f t="shared" si="6"/>
        <v>147</v>
      </c>
      <c r="R9">
        <f t="shared" si="7"/>
        <v>0</v>
      </c>
      <c r="S9">
        <f t="shared" si="8"/>
        <v>3</v>
      </c>
      <c r="T9">
        <f t="shared" si="9"/>
        <v>0</v>
      </c>
      <c r="V9">
        <v>4416</v>
      </c>
      <c r="W9">
        <v>6451</v>
      </c>
      <c r="X9">
        <v>2274</v>
      </c>
      <c r="Y9">
        <f t="shared" si="2"/>
        <v>13141</v>
      </c>
      <c r="AA9">
        <v>511</v>
      </c>
      <c r="AB9">
        <v>501</v>
      </c>
      <c r="AC9">
        <v>9</v>
      </c>
      <c r="AD9">
        <v>0</v>
      </c>
      <c r="AE9">
        <v>1</v>
      </c>
      <c r="AF9">
        <v>6135</v>
      </c>
      <c r="AG9">
        <v>6018</v>
      </c>
      <c r="AH9">
        <v>12</v>
      </c>
      <c r="AI9">
        <v>6</v>
      </c>
      <c r="AJ9">
        <v>99</v>
      </c>
      <c r="AK9">
        <v>6451</v>
      </c>
      <c r="AL9">
        <v>1044</v>
      </c>
      <c r="AM9">
        <v>6</v>
      </c>
      <c r="AN9">
        <v>5</v>
      </c>
      <c r="AO9">
        <v>5396</v>
      </c>
      <c r="AP9">
        <v>13097</v>
      </c>
      <c r="AR9">
        <f t="shared" si="10"/>
        <v>7563</v>
      </c>
      <c r="AS9">
        <f t="shared" si="11"/>
        <v>27</v>
      </c>
      <c r="AT9">
        <f t="shared" si="12"/>
        <v>5496</v>
      </c>
      <c r="AU9">
        <f t="shared" si="13"/>
        <v>11</v>
      </c>
      <c r="AV9">
        <f t="shared" si="14"/>
        <v>13097</v>
      </c>
    </row>
    <row r="10" spans="1:87" x14ac:dyDescent="0.2">
      <c r="A10" s="2">
        <v>1994</v>
      </c>
      <c r="J10">
        <f t="shared" si="3"/>
        <v>7716</v>
      </c>
      <c r="K10">
        <f t="shared" si="4"/>
        <v>28</v>
      </c>
      <c r="L10">
        <f t="shared" si="5"/>
        <v>5653</v>
      </c>
      <c r="N10">
        <f t="shared" si="15"/>
        <v>153</v>
      </c>
      <c r="O10">
        <f t="shared" si="6"/>
        <v>1</v>
      </c>
      <c r="P10">
        <f t="shared" si="6"/>
        <v>157</v>
      </c>
      <c r="R10">
        <f t="shared" si="7"/>
        <v>0</v>
      </c>
      <c r="S10">
        <f t="shared" si="8"/>
        <v>0</v>
      </c>
      <c r="T10">
        <f t="shared" si="9"/>
        <v>0</v>
      </c>
      <c r="V10">
        <v>4377</v>
      </c>
      <c r="W10">
        <v>6752</v>
      </c>
      <c r="X10">
        <v>2340</v>
      </c>
      <c r="Y10">
        <f t="shared" si="2"/>
        <v>13469</v>
      </c>
      <c r="AA10">
        <v>532</v>
      </c>
      <c r="AB10">
        <v>522</v>
      </c>
      <c r="AC10">
        <v>9</v>
      </c>
      <c r="AD10">
        <v>0</v>
      </c>
      <c r="AE10">
        <v>1</v>
      </c>
      <c r="AF10">
        <v>6141</v>
      </c>
      <c r="AG10">
        <v>6008</v>
      </c>
      <c r="AH10">
        <v>13</v>
      </c>
      <c r="AI10">
        <v>16</v>
      </c>
      <c r="AJ10">
        <v>104</v>
      </c>
      <c r="AK10">
        <v>6752</v>
      </c>
      <c r="AL10">
        <v>1186</v>
      </c>
      <c r="AM10">
        <v>6</v>
      </c>
      <c r="AN10">
        <v>12</v>
      </c>
      <c r="AO10">
        <v>5548</v>
      </c>
      <c r="AP10">
        <v>13425</v>
      </c>
      <c r="AR10">
        <f t="shared" si="10"/>
        <v>7716</v>
      </c>
      <c r="AS10">
        <f t="shared" si="11"/>
        <v>28</v>
      </c>
      <c r="AT10">
        <f t="shared" si="12"/>
        <v>5653</v>
      </c>
      <c r="AU10">
        <f t="shared" si="13"/>
        <v>28</v>
      </c>
      <c r="AV10">
        <f t="shared" si="14"/>
        <v>13425</v>
      </c>
    </row>
    <row r="11" spans="1:87" x14ac:dyDescent="0.2">
      <c r="A11" s="2">
        <v>1995</v>
      </c>
      <c r="J11">
        <f t="shared" si="3"/>
        <v>7836</v>
      </c>
      <c r="K11">
        <f t="shared" si="4"/>
        <v>30</v>
      </c>
      <c r="L11">
        <f t="shared" si="5"/>
        <v>5879</v>
      </c>
      <c r="N11">
        <f t="shared" si="15"/>
        <v>120</v>
      </c>
      <c r="O11">
        <f t="shared" si="6"/>
        <v>2</v>
      </c>
      <c r="P11">
        <f t="shared" si="6"/>
        <v>226</v>
      </c>
      <c r="R11">
        <f t="shared" si="7"/>
        <v>0</v>
      </c>
      <c r="S11">
        <f t="shared" si="8"/>
        <v>0</v>
      </c>
      <c r="T11">
        <f t="shared" si="9"/>
        <v>0</v>
      </c>
      <c r="V11">
        <v>4343</v>
      </c>
      <c r="W11">
        <v>7139</v>
      </c>
      <c r="X11">
        <v>2346</v>
      </c>
      <c r="Y11">
        <f t="shared" si="2"/>
        <v>13828</v>
      </c>
      <c r="AA11">
        <v>553</v>
      </c>
      <c r="AB11">
        <v>537</v>
      </c>
      <c r="AC11">
        <v>9</v>
      </c>
      <c r="AD11">
        <v>5</v>
      </c>
      <c r="AE11">
        <v>2</v>
      </c>
      <c r="AF11">
        <v>6092</v>
      </c>
      <c r="AG11">
        <v>5950</v>
      </c>
      <c r="AH11">
        <v>14</v>
      </c>
      <c r="AI11">
        <v>19</v>
      </c>
      <c r="AJ11">
        <v>109</v>
      </c>
      <c r="AK11">
        <v>7139</v>
      </c>
      <c r="AL11">
        <v>1349</v>
      </c>
      <c r="AM11">
        <v>7</v>
      </c>
      <c r="AN11">
        <v>15</v>
      </c>
      <c r="AO11">
        <v>5768</v>
      </c>
      <c r="AP11">
        <v>13784</v>
      </c>
      <c r="AR11">
        <f t="shared" si="10"/>
        <v>7836</v>
      </c>
      <c r="AS11">
        <f t="shared" si="11"/>
        <v>30</v>
      </c>
      <c r="AT11">
        <f t="shared" si="12"/>
        <v>5879</v>
      </c>
      <c r="AU11">
        <f t="shared" si="13"/>
        <v>39</v>
      </c>
      <c r="AV11">
        <f t="shared" si="14"/>
        <v>13784</v>
      </c>
    </row>
    <row r="12" spans="1:87" x14ac:dyDescent="0.2">
      <c r="A12" s="2">
        <v>1996</v>
      </c>
      <c r="J12">
        <f t="shared" si="3"/>
        <v>7948</v>
      </c>
      <c r="K12">
        <f t="shared" si="4"/>
        <v>29</v>
      </c>
      <c r="L12">
        <f t="shared" si="5"/>
        <v>5932</v>
      </c>
      <c r="N12">
        <f t="shared" si="15"/>
        <v>112</v>
      </c>
      <c r="O12">
        <v>0</v>
      </c>
      <c r="P12">
        <f t="shared" si="6"/>
        <v>53</v>
      </c>
      <c r="R12">
        <f t="shared" si="7"/>
        <v>0</v>
      </c>
      <c r="S12">
        <f t="shared" si="8"/>
        <v>1</v>
      </c>
      <c r="T12">
        <f t="shared" si="9"/>
        <v>0</v>
      </c>
      <c r="V12">
        <v>4269</v>
      </c>
      <c r="W12">
        <v>7358</v>
      </c>
      <c r="X12">
        <v>2340</v>
      </c>
      <c r="Y12">
        <f t="shared" si="2"/>
        <v>13967</v>
      </c>
      <c r="AA12">
        <v>564</v>
      </c>
      <c r="AB12">
        <v>552</v>
      </c>
      <c r="AC12">
        <v>9</v>
      </c>
      <c r="AD12">
        <v>1</v>
      </c>
      <c r="AE12">
        <v>2</v>
      </c>
      <c r="AF12">
        <v>6036</v>
      </c>
      <c r="AG12">
        <v>5872</v>
      </c>
      <c r="AH12">
        <v>15</v>
      </c>
      <c r="AI12">
        <v>34</v>
      </c>
      <c r="AJ12">
        <v>115</v>
      </c>
      <c r="AK12">
        <v>7358</v>
      </c>
      <c r="AL12">
        <v>1524</v>
      </c>
      <c r="AM12">
        <v>5</v>
      </c>
      <c r="AN12">
        <v>14</v>
      </c>
      <c r="AO12">
        <v>5815</v>
      </c>
      <c r="AP12">
        <v>13958</v>
      </c>
      <c r="AR12">
        <f t="shared" si="10"/>
        <v>7948</v>
      </c>
      <c r="AS12">
        <f t="shared" si="11"/>
        <v>29</v>
      </c>
      <c r="AT12">
        <f t="shared" si="12"/>
        <v>5932</v>
      </c>
      <c r="AU12">
        <f t="shared" si="13"/>
        <v>49</v>
      </c>
      <c r="AV12">
        <f t="shared" si="14"/>
        <v>13958</v>
      </c>
    </row>
    <row r="13" spans="1:87" x14ac:dyDescent="0.2">
      <c r="A13" s="2">
        <v>1997</v>
      </c>
      <c r="J13">
        <f t="shared" si="3"/>
        <v>8275</v>
      </c>
      <c r="K13">
        <f t="shared" si="4"/>
        <v>32</v>
      </c>
      <c r="L13">
        <f t="shared" si="5"/>
        <v>5880</v>
      </c>
      <c r="N13">
        <f t="shared" si="15"/>
        <v>327</v>
      </c>
      <c r="O13">
        <f t="shared" si="6"/>
        <v>3</v>
      </c>
      <c r="P13">
        <v>0</v>
      </c>
      <c r="R13">
        <f t="shared" si="7"/>
        <v>0</v>
      </c>
      <c r="S13">
        <f t="shared" si="8"/>
        <v>0</v>
      </c>
      <c r="T13">
        <f t="shared" si="9"/>
        <v>52</v>
      </c>
      <c r="V13">
        <v>4226</v>
      </c>
      <c r="W13">
        <v>7669</v>
      </c>
      <c r="X13">
        <v>2340</v>
      </c>
      <c r="Y13">
        <f t="shared" si="2"/>
        <v>14235</v>
      </c>
      <c r="AA13">
        <v>575</v>
      </c>
      <c r="AB13">
        <v>563</v>
      </c>
      <c r="AC13">
        <v>9</v>
      </c>
      <c r="AD13">
        <v>1</v>
      </c>
      <c r="AE13">
        <v>2</v>
      </c>
      <c r="AF13">
        <v>5982</v>
      </c>
      <c r="AG13">
        <v>5895</v>
      </c>
      <c r="AH13">
        <v>14</v>
      </c>
      <c r="AI13">
        <v>27</v>
      </c>
      <c r="AJ13">
        <v>46</v>
      </c>
      <c r="AK13">
        <v>7669</v>
      </c>
      <c r="AL13">
        <v>1817</v>
      </c>
      <c r="AM13">
        <v>9</v>
      </c>
      <c r="AN13">
        <v>11</v>
      </c>
      <c r="AO13">
        <v>5832</v>
      </c>
      <c r="AP13">
        <v>14226</v>
      </c>
      <c r="AR13">
        <f t="shared" si="10"/>
        <v>8275</v>
      </c>
      <c r="AS13">
        <f t="shared" si="11"/>
        <v>32</v>
      </c>
      <c r="AT13">
        <f t="shared" si="12"/>
        <v>5880</v>
      </c>
      <c r="AU13">
        <f t="shared" si="13"/>
        <v>39</v>
      </c>
      <c r="AV13">
        <f t="shared" si="14"/>
        <v>14226</v>
      </c>
    </row>
    <row r="14" spans="1:87" x14ac:dyDescent="0.2">
      <c r="A14" s="2">
        <v>1998</v>
      </c>
      <c r="J14">
        <f t="shared" si="3"/>
        <v>8568</v>
      </c>
      <c r="K14">
        <f t="shared" si="4"/>
        <v>32</v>
      </c>
      <c r="L14">
        <f t="shared" si="5"/>
        <v>5875</v>
      </c>
      <c r="N14">
        <f t="shared" si="15"/>
        <v>293</v>
      </c>
      <c r="O14">
        <f t="shared" si="6"/>
        <v>0</v>
      </c>
      <c r="P14">
        <v>0</v>
      </c>
      <c r="R14">
        <f t="shared" si="7"/>
        <v>0</v>
      </c>
      <c r="S14">
        <f t="shared" si="8"/>
        <v>0</v>
      </c>
      <c r="T14">
        <f t="shared" si="9"/>
        <v>5</v>
      </c>
      <c r="V14">
        <v>4282</v>
      </c>
      <c r="W14">
        <v>8042</v>
      </c>
      <c r="X14">
        <v>2195</v>
      </c>
      <c r="Y14">
        <f t="shared" si="2"/>
        <v>14519</v>
      </c>
      <c r="AA14">
        <v>594</v>
      </c>
      <c r="AB14">
        <v>581</v>
      </c>
      <c r="AC14">
        <v>9</v>
      </c>
      <c r="AD14">
        <v>1</v>
      </c>
      <c r="AE14">
        <v>3</v>
      </c>
      <c r="AF14">
        <v>5874</v>
      </c>
      <c r="AG14">
        <v>5776</v>
      </c>
      <c r="AH14">
        <v>16</v>
      </c>
      <c r="AI14">
        <v>23</v>
      </c>
      <c r="AJ14">
        <v>59</v>
      </c>
      <c r="AK14">
        <v>8042</v>
      </c>
      <c r="AL14">
        <v>2211</v>
      </c>
      <c r="AM14">
        <v>7</v>
      </c>
      <c r="AN14">
        <v>11</v>
      </c>
      <c r="AO14">
        <v>5813</v>
      </c>
      <c r="AP14">
        <v>14510</v>
      </c>
      <c r="AR14">
        <f t="shared" si="10"/>
        <v>8568</v>
      </c>
      <c r="AS14">
        <f t="shared" si="11"/>
        <v>32</v>
      </c>
      <c r="AT14">
        <f t="shared" si="12"/>
        <v>5875</v>
      </c>
      <c r="AU14">
        <f t="shared" si="13"/>
        <v>35</v>
      </c>
      <c r="AV14">
        <f t="shared" si="14"/>
        <v>14510</v>
      </c>
    </row>
    <row r="15" spans="1:87" x14ac:dyDescent="0.2">
      <c r="A15" s="2">
        <v>1999</v>
      </c>
      <c r="J15">
        <f t="shared" si="3"/>
        <v>8959</v>
      </c>
      <c r="K15">
        <f t="shared" si="4"/>
        <v>30</v>
      </c>
      <c r="L15">
        <f t="shared" si="5"/>
        <v>5909</v>
      </c>
      <c r="N15">
        <f t="shared" si="15"/>
        <v>391</v>
      </c>
      <c r="O15">
        <v>0</v>
      </c>
      <c r="P15">
        <f t="shared" si="6"/>
        <v>34</v>
      </c>
      <c r="R15">
        <f t="shared" si="7"/>
        <v>0</v>
      </c>
      <c r="S15">
        <f t="shared" si="8"/>
        <v>2</v>
      </c>
      <c r="T15">
        <f t="shared" si="9"/>
        <v>0</v>
      </c>
      <c r="V15">
        <v>4318</v>
      </c>
      <c r="W15">
        <v>8471</v>
      </c>
      <c r="X15">
        <v>2149</v>
      </c>
      <c r="Y15">
        <f t="shared" si="2"/>
        <v>14938</v>
      </c>
      <c r="AA15">
        <v>610</v>
      </c>
      <c r="AB15">
        <v>596</v>
      </c>
      <c r="AC15">
        <v>9</v>
      </c>
      <c r="AD15">
        <v>1</v>
      </c>
      <c r="AE15">
        <v>4</v>
      </c>
      <c r="AF15">
        <v>5848</v>
      </c>
      <c r="AG15">
        <v>5738</v>
      </c>
      <c r="AH15">
        <v>14</v>
      </c>
      <c r="AI15">
        <v>19</v>
      </c>
      <c r="AJ15">
        <v>77</v>
      </c>
      <c r="AK15">
        <v>8471</v>
      </c>
      <c r="AL15">
        <v>2625</v>
      </c>
      <c r="AM15">
        <v>7</v>
      </c>
      <c r="AN15">
        <v>11</v>
      </c>
      <c r="AO15">
        <v>5828</v>
      </c>
      <c r="AP15">
        <v>14929</v>
      </c>
      <c r="AR15">
        <f t="shared" si="10"/>
        <v>8959</v>
      </c>
      <c r="AS15">
        <f t="shared" si="11"/>
        <v>30</v>
      </c>
      <c r="AT15">
        <f t="shared" si="12"/>
        <v>5909</v>
      </c>
      <c r="AU15">
        <f t="shared" si="13"/>
        <v>31</v>
      </c>
      <c r="AV15">
        <f t="shared" si="14"/>
        <v>14929</v>
      </c>
    </row>
    <row r="16" spans="1:87" x14ac:dyDescent="0.2">
      <c r="A16" s="2">
        <v>2000</v>
      </c>
      <c r="J16">
        <f t="shared" si="3"/>
        <v>9343</v>
      </c>
      <c r="K16">
        <f t="shared" si="4"/>
        <v>31</v>
      </c>
      <c r="L16">
        <f t="shared" si="5"/>
        <v>5772</v>
      </c>
      <c r="N16">
        <f t="shared" si="15"/>
        <v>384</v>
      </c>
      <c r="O16">
        <f t="shared" si="6"/>
        <v>1</v>
      </c>
      <c r="P16">
        <v>0</v>
      </c>
      <c r="R16">
        <f t="shared" si="7"/>
        <v>0</v>
      </c>
      <c r="S16">
        <f t="shared" si="8"/>
        <v>0</v>
      </c>
      <c r="T16">
        <f t="shared" si="9"/>
        <v>137</v>
      </c>
      <c r="V16">
        <v>4281</v>
      </c>
      <c r="W16">
        <v>8733</v>
      </c>
      <c r="X16">
        <v>2185</v>
      </c>
      <c r="Y16">
        <f t="shared" si="2"/>
        <v>15199</v>
      </c>
      <c r="AA16">
        <v>658</v>
      </c>
      <c r="AB16">
        <v>646</v>
      </c>
      <c r="AC16">
        <v>9</v>
      </c>
      <c r="AD16">
        <v>1</v>
      </c>
      <c r="AE16">
        <v>2</v>
      </c>
      <c r="AF16">
        <v>5799</v>
      </c>
      <c r="AG16">
        <v>5677</v>
      </c>
      <c r="AH16">
        <v>14</v>
      </c>
      <c r="AI16">
        <v>33</v>
      </c>
      <c r="AJ16">
        <v>75</v>
      </c>
      <c r="AK16">
        <v>8733</v>
      </c>
      <c r="AL16">
        <v>3020</v>
      </c>
      <c r="AM16">
        <v>8</v>
      </c>
      <c r="AN16">
        <v>10</v>
      </c>
      <c r="AO16">
        <v>5695</v>
      </c>
      <c r="AP16">
        <v>15190</v>
      </c>
      <c r="AR16">
        <f t="shared" si="10"/>
        <v>9343</v>
      </c>
      <c r="AS16">
        <f t="shared" si="11"/>
        <v>31</v>
      </c>
      <c r="AT16">
        <f t="shared" si="12"/>
        <v>5772</v>
      </c>
      <c r="AU16">
        <f t="shared" si="13"/>
        <v>44</v>
      </c>
      <c r="AV16">
        <f t="shared" si="14"/>
        <v>15190</v>
      </c>
    </row>
    <row r="17" spans="1:86" x14ac:dyDescent="0.2">
      <c r="A17" s="2">
        <v>2001</v>
      </c>
      <c r="J17">
        <f t="shared" si="3"/>
        <v>10090</v>
      </c>
      <c r="K17">
        <f t="shared" si="4"/>
        <v>32</v>
      </c>
      <c r="L17">
        <f t="shared" si="5"/>
        <v>5501</v>
      </c>
      <c r="N17">
        <f t="shared" si="15"/>
        <v>747</v>
      </c>
      <c r="O17">
        <f t="shared" si="6"/>
        <v>1</v>
      </c>
      <c r="P17">
        <v>0</v>
      </c>
      <c r="R17">
        <f t="shared" si="7"/>
        <v>0</v>
      </c>
      <c r="S17">
        <f t="shared" si="8"/>
        <v>0</v>
      </c>
      <c r="T17">
        <f t="shared" si="9"/>
        <v>271</v>
      </c>
      <c r="V17">
        <v>4429</v>
      </c>
      <c r="W17">
        <v>9139</v>
      </c>
      <c r="X17">
        <v>2104</v>
      </c>
      <c r="Y17">
        <f t="shared" si="2"/>
        <v>15672</v>
      </c>
      <c r="AA17">
        <v>753</v>
      </c>
      <c r="AB17">
        <v>743</v>
      </c>
      <c r="AC17">
        <v>9</v>
      </c>
      <c r="AD17">
        <v>0</v>
      </c>
      <c r="AE17">
        <v>1</v>
      </c>
      <c r="AF17">
        <v>5771</v>
      </c>
      <c r="AG17">
        <v>5652</v>
      </c>
      <c r="AH17">
        <v>14</v>
      </c>
      <c r="AI17">
        <v>32</v>
      </c>
      <c r="AJ17">
        <v>73</v>
      </c>
      <c r="AK17">
        <v>9139</v>
      </c>
      <c r="AL17">
        <v>3695</v>
      </c>
      <c r="AM17">
        <v>9</v>
      </c>
      <c r="AN17">
        <v>8</v>
      </c>
      <c r="AO17">
        <v>5427</v>
      </c>
      <c r="AP17">
        <v>15663</v>
      </c>
      <c r="AR17">
        <f t="shared" si="10"/>
        <v>10090</v>
      </c>
      <c r="AS17">
        <f t="shared" si="11"/>
        <v>32</v>
      </c>
      <c r="AT17">
        <f t="shared" si="12"/>
        <v>5501</v>
      </c>
      <c r="AU17">
        <f t="shared" si="13"/>
        <v>40</v>
      </c>
      <c r="AV17">
        <f t="shared" si="14"/>
        <v>15663</v>
      </c>
    </row>
    <row r="18" spans="1:86" x14ac:dyDescent="0.2">
      <c r="A18" s="2">
        <v>2002</v>
      </c>
      <c r="J18">
        <f t="shared" si="3"/>
        <v>10640</v>
      </c>
      <c r="K18">
        <f t="shared" si="4"/>
        <v>35</v>
      </c>
      <c r="L18">
        <f t="shared" si="5"/>
        <v>5266</v>
      </c>
      <c r="N18">
        <f t="shared" si="15"/>
        <v>550</v>
      </c>
      <c r="O18">
        <f t="shared" si="6"/>
        <v>3</v>
      </c>
      <c r="P18">
        <v>0</v>
      </c>
      <c r="R18">
        <f t="shared" si="7"/>
        <v>0</v>
      </c>
      <c r="S18">
        <f t="shared" si="8"/>
        <v>0</v>
      </c>
      <c r="T18">
        <f t="shared" si="9"/>
        <v>235</v>
      </c>
      <c r="V18">
        <v>4517</v>
      </c>
      <c r="W18">
        <v>9398</v>
      </c>
      <c r="X18">
        <v>2060</v>
      </c>
      <c r="Y18">
        <f t="shared" si="2"/>
        <v>15975</v>
      </c>
      <c r="AA18">
        <v>831</v>
      </c>
      <c r="AB18">
        <v>821</v>
      </c>
      <c r="AC18">
        <v>9</v>
      </c>
      <c r="AD18">
        <v>0</v>
      </c>
      <c r="AE18">
        <v>1</v>
      </c>
      <c r="AF18">
        <v>5746</v>
      </c>
      <c r="AG18">
        <v>5625</v>
      </c>
      <c r="AH18">
        <v>14</v>
      </c>
      <c r="AI18">
        <v>30</v>
      </c>
      <c r="AJ18">
        <v>77</v>
      </c>
      <c r="AK18">
        <v>9398</v>
      </c>
      <c r="AL18">
        <v>4194</v>
      </c>
      <c r="AM18">
        <v>12</v>
      </c>
      <c r="AN18">
        <v>4</v>
      </c>
      <c r="AO18">
        <v>5188</v>
      </c>
      <c r="AP18">
        <v>15975</v>
      </c>
      <c r="AR18">
        <f t="shared" si="10"/>
        <v>10640</v>
      </c>
      <c r="AS18">
        <f t="shared" si="11"/>
        <v>35</v>
      </c>
      <c r="AT18">
        <f t="shared" si="12"/>
        <v>5266</v>
      </c>
      <c r="AU18">
        <f t="shared" si="13"/>
        <v>34</v>
      </c>
      <c r="AV18">
        <f t="shared" si="14"/>
        <v>15975</v>
      </c>
    </row>
    <row r="19" spans="1:86" x14ac:dyDescent="0.2">
      <c r="A19" s="2">
        <v>2003</v>
      </c>
      <c r="J19">
        <f t="shared" si="3"/>
        <v>11137</v>
      </c>
      <c r="K19">
        <f t="shared" si="4"/>
        <v>28</v>
      </c>
      <c r="L19">
        <f t="shared" si="5"/>
        <v>5036</v>
      </c>
      <c r="N19">
        <f t="shared" si="15"/>
        <v>497</v>
      </c>
      <c r="O19">
        <v>0</v>
      </c>
      <c r="P19">
        <v>0</v>
      </c>
      <c r="R19">
        <f t="shared" si="7"/>
        <v>0</v>
      </c>
      <c r="S19">
        <f t="shared" si="8"/>
        <v>7</v>
      </c>
      <c r="T19">
        <f t="shared" si="9"/>
        <v>230</v>
      </c>
      <c r="V19">
        <v>4478</v>
      </c>
      <c r="W19">
        <v>9645</v>
      </c>
      <c r="X19">
        <v>2111</v>
      </c>
      <c r="Y19">
        <f t="shared" si="2"/>
        <v>16234</v>
      </c>
      <c r="AA19">
        <v>854</v>
      </c>
      <c r="AB19">
        <v>852</v>
      </c>
      <c r="AC19">
        <v>1</v>
      </c>
      <c r="AD19">
        <v>0</v>
      </c>
      <c r="AE19">
        <v>1</v>
      </c>
      <c r="AF19">
        <v>5735</v>
      </c>
      <c r="AG19">
        <v>5619</v>
      </c>
      <c r="AH19">
        <v>14</v>
      </c>
      <c r="AI19">
        <v>30</v>
      </c>
      <c r="AJ19">
        <v>72</v>
      </c>
      <c r="AK19">
        <v>9645</v>
      </c>
      <c r="AL19">
        <v>4666</v>
      </c>
      <c r="AM19">
        <v>13</v>
      </c>
      <c r="AN19">
        <v>3</v>
      </c>
      <c r="AO19">
        <v>4963</v>
      </c>
      <c r="AP19">
        <v>16234</v>
      </c>
      <c r="AR19">
        <f t="shared" si="10"/>
        <v>11137</v>
      </c>
      <c r="AS19">
        <f t="shared" si="11"/>
        <v>28</v>
      </c>
      <c r="AT19">
        <f t="shared" si="12"/>
        <v>5036</v>
      </c>
      <c r="AU19">
        <f t="shared" si="13"/>
        <v>33</v>
      </c>
      <c r="AV19">
        <f t="shared" si="14"/>
        <v>16234</v>
      </c>
    </row>
    <row r="20" spans="1:86" x14ac:dyDescent="0.2">
      <c r="A20" s="2">
        <v>2004</v>
      </c>
      <c r="J20">
        <f t="shared" si="3"/>
        <v>11768</v>
      </c>
      <c r="K20">
        <f t="shared" si="4"/>
        <v>28</v>
      </c>
      <c r="L20">
        <f t="shared" si="5"/>
        <v>4570</v>
      </c>
      <c r="N20">
        <f t="shared" si="15"/>
        <v>631</v>
      </c>
      <c r="O20">
        <f t="shared" si="6"/>
        <v>0</v>
      </c>
      <c r="P20">
        <v>0</v>
      </c>
      <c r="R20">
        <f t="shared" si="7"/>
        <v>0</v>
      </c>
      <c r="S20">
        <f t="shared" si="8"/>
        <v>0</v>
      </c>
      <c r="T20">
        <f t="shared" si="9"/>
        <v>466</v>
      </c>
      <c r="V20">
        <v>4598</v>
      </c>
      <c r="W20">
        <v>9643</v>
      </c>
      <c r="X20">
        <v>2163</v>
      </c>
      <c r="Y20">
        <f t="shared" si="2"/>
        <v>16404</v>
      </c>
      <c r="AA20">
        <v>929</v>
      </c>
      <c r="AB20">
        <v>927</v>
      </c>
      <c r="AC20">
        <v>1</v>
      </c>
      <c r="AD20">
        <v>0</v>
      </c>
      <c r="AE20">
        <v>1</v>
      </c>
      <c r="AF20">
        <v>5832</v>
      </c>
      <c r="AG20">
        <v>5717</v>
      </c>
      <c r="AH20">
        <v>15</v>
      </c>
      <c r="AI20">
        <v>34</v>
      </c>
      <c r="AJ20">
        <v>66</v>
      </c>
      <c r="AK20">
        <v>9643</v>
      </c>
      <c r="AL20">
        <v>5124</v>
      </c>
      <c r="AM20">
        <v>12</v>
      </c>
      <c r="AN20">
        <v>4</v>
      </c>
      <c r="AO20">
        <v>4503</v>
      </c>
      <c r="AP20">
        <v>16404</v>
      </c>
      <c r="AR20">
        <f t="shared" si="10"/>
        <v>11768</v>
      </c>
      <c r="AS20">
        <f t="shared" si="11"/>
        <v>28</v>
      </c>
      <c r="AT20">
        <f t="shared" si="12"/>
        <v>4570</v>
      </c>
      <c r="AU20">
        <f t="shared" si="13"/>
        <v>38</v>
      </c>
      <c r="AV20">
        <f t="shared" si="14"/>
        <v>16404</v>
      </c>
    </row>
    <row r="21" spans="1:86" x14ac:dyDescent="0.2">
      <c r="A21" s="2">
        <v>2005</v>
      </c>
      <c r="J21">
        <f t="shared" si="3"/>
        <v>12415</v>
      </c>
      <c r="K21">
        <f t="shared" si="4"/>
        <v>32</v>
      </c>
      <c r="L21">
        <f t="shared" si="5"/>
        <v>4081</v>
      </c>
      <c r="N21">
        <f t="shared" ref="N21:N23" si="16">CE21</f>
        <v>1159</v>
      </c>
      <c r="O21">
        <v>4</v>
      </c>
      <c r="P21">
        <f t="shared" ref="P21:P23" si="17">CG21</f>
        <v>55</v>
      </c>
      <c r="R21">
        <f t="shared" si="7"/>
        <v>512</v>
      </c>
      <c r="S21">
        <f t="shared" si="8"/>
        <v>0</v>
      </c>
      <c r="T21">
        <f t="shared" si="9"/>
        <v>544</v>
      </c>
      <c r="V21">
        <v>4685</v>
      </c>
      <c r="W21">
        <v>9574</v>
      </c>
      <c r="X21">
        <v>2340</v>
      </c>
      <c r="Y21">
        <f t="shared" si="2"/>
        <v>16599</v>
      </c>
      <c r="AA21">
        <v>993</v>
      </c>
      <c r="AB21">
        <v>988</v>
      </c>
      <c r="AC21">
        <v>1</v>
      </c>
      <c r="AD21">
        <v>3</v>
      </c>
      <c r="AE21">
        <v>1</v>
      </c>
      <c r="AF21">
        <v>6032</v>
      </c>
      <c r="AG21">
        <v>5897</v>
      </c>
      <c r="AH21">
        <v>17</v>
      </c>
      <c r="AI21">
        <v>50</v>
      </c>
      <c r="AJ21">
        <v>68</v>
      </c>
      <c r="AK21">
        <v>9574</v>
      </c>
      <c r="AL21">
        <v>5530</v>
      </c>
      <c r="AM21">
        <v>14</v>
      </c>
      <c r="AN21">
        <v>18</v>
      </c>
      <c r="AO21">
        <v>4012</v>
      </c>
      <c r="AP21">
        <v>16599</v>
      </c>
      <c r="AR21">
        <f t="shared" si="10"/>
        <v>12415</v>
      </c>
      <c r="AS21">
        <f t="shared" si="11"/>
        <v>32</v>
      </c>
      <c r="AT21">
        <f t="shared" si="12"/>
        <v>4081</v>
      </c>
      <c r="AU21">
        <f t="shared" si="13"/>
        <v>71</v>
      </c>
      <c r="AV21">
        <f t="shared" si="14"/>
        <v>16599</v>
      </c>
      <c r="AZ21">
        <v>73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410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676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54</v>
      </c>
      <c r="CB21">
        <v>0</v>
      </c>
      <c r="CC21">
        <v>0</v>
      </c>
      <c r="CE21">
        <f>SUM(AZ21:BA21,BJ21:BK21,BT21:BU21)</f>
        <v>1159</v>
      </c>
      <c r="CF21">
        <f>SUM(BC21,BM21,BW21)</f>
        <v>2</v>
      </c>
      <c r="CG21">
        <f>SUM(BG21:BH21,BQ21:BR21,CA21:CB21)</f>
        <v>55</v>
      </c>
      <c r="CH21">
        <f>SUM(BB21,BD21,BE21,BF21,BI21,BL21,BN21,BO21,BP21,BS21,BV21,BX21,BY21,BZ21,CC21)</f>
        <v>16</v>
      </c>
    </row>
    <row r="22" spans="1:86" x14ac:dyDescent="0.2">
      <c r="A22" s="2">
        <v>2006</v>
      </c>
      <c r="J22">
        <f t="shared" si="3"/>
        <v>12827</v>
      </c>
      <c r="K22">
        <f t="shared" si="4"/>
        <v>31</v>
      </c>
      <c r="L22">
        <f t="shared" si="5"/>
        <v>3669</v>
      </c>
      <c r="N22">
        <f t="shared" si="16"/>
        <v>1034</v>
      </c>
      <c r="O22">
        <f t="shared" ref="O22:O23" si="18">CF22</f>
        <v>2</v>
      </c>
      <c r="P22">
        <f t="shared" si="17"/>
        <v>12</v>
      </c>
      <c r="R22">
        <f t="shared" si="7"/>
        <v>622</v>
      </c>
      <c r="S22">
        <f t="shared" si="8"/>
        <v>3</v>
      </c>
      <c r="T22">
        <f t="shared" si="9"/>
        <v>424</v>
      </c>
      <c r="V22">
        <v>4586</v>
      </c>
      <c r="W22">
        <v>9421</v>
      </c>
      <c r="X22">
        <v>2617</v>
      </c>
      <c r="Y22">
        <f t="shared" si="2"/>
        <v>16624</v>
      </c>
      <c r="AA22">
        <v>1041</v>
      </c>
      <c r="AB22">
        <v>1025</v>
      </c>
      <c r="AC22">
        <v>1</v>
      </c>
      <c r="AD22">
        <v>13</v>
      </c>
      <c r="AE22">
        <v>2</v>
      </c>
      <c r="AF22">
        <v>6162</v>
      </c>
      <c r="AG22">
        <v>5995</v>
      </c>
      <c r="AH22">
        <v>17</v>
      </c>
      <c r="AI22">
        <v>60</v>
      </c>
      <c r="AJ22">
        <v>90</v>
      </c>
      <c r="AK22">
        <v>9421</v>
      </c>
      <c r="AL22">
        <v>5807</v>
      </c>
      <c r="AM22">
        <v>13</v>
      </c>
      <c r="AN22">
        <v>24</v>
      </c>
      <c r="AO22">
        <v>3577</v>
      </c>
      <c r="AP22">
        <v>16624</v>
      </c>
      <c r="AR22">
        <f t="shared" si="10"/>
        <v>12827</v>
      </c>
      <c r="AS22">
        <f t="shared" si="11"/>
        <v>31</v>
      </c>
      <c r="AT22">
        <f t="shared" si="12"/>
        <v>3669</v>
      </c>
      <c r="AU22">
        <f t="shared" si="13"/>
        <v>97</v>
      </c>
      <c r="AV22">
        <f t="shared" si="14"/>
        <v>16624</v>
      </c>
      <c r="AZ22">
        <v>69</v>
      </c>
      <c r="BA22">
        <v>0</v>
      </c>
      <c r="BB22">
        <v>0</v>
      </c>
      <c r="BC22">
        <v>0</v>
      </c>
      <c r="BD22">
        <v>11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461</v>
      </c>
      <c r="BK22">
        <v>0</v>
      </c>
      <c r="BL22">
        <v>0</v>
      </c>
      <c r="BM22">
        <v>0</v>
      </c>
      <c r="BN22">
        <v>12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504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5</v>
      </c>
      <c r="CA22">
        <v>10</v>
      </c>
      <c r="CB22">
        <v>0</v>
      </c>
      <c r="CC22">
        <v>0</v>
      </c>
      <c r="CE22">
        <f t="shared" ref="CE22:CE37" si="19">SUM(AZ22:BA22,BJ22:BK22,BT22:BU22)</f>
        <v>1034</v>
      </c>
      <c r="CF22">
        <f t="shared" ref="CF22:CF37" si="20">SUM(BC22,BM22,BW22)</f>
        <v>2</v>
      </c>
      <c r="CG22">
        <f t="shared" ref="CG22:CG37" si="21">SUM(BG22:BH22,BQ22:BR22,CA22:CB22)</f>
        <v>12</v>
      </c>
      <c r="CH22">
        <f t="shared" ref="CH22:CH37" si="22">SUM(BB22,BD22,BE22,BF22,BI22,BL22,BN22,BO22,BP22,BS22,BV22,BX22,BY22,BZ22,CC22)</f>
        <v>28</v>
      </c>
    </row>
    <row r="23" spans="1:86" x14ac:dyDescent="0.2">
      <c r="A23" s="2">
        <v>2007</v>
      </c>
      <c r="J23">
        <f t="shared" si="3"/>
        <v>13312</v>
      </c>
      <c r="K23">
        <f t="shared" si="4"/>
        <v>30</v>
      </c>
      <c r="L23">
        <f t="shared" si="5"/>
        <v>3191</v>
      </c>
      <c r="N23">
        <f t="shared" si="16"/>
        <v>885</v>
      </c>
      <c r="O23">
        <f t="shared" si="18"/>
        <v>0</v>
      </c>
      <c r="P23">
        <f t="shared" si="17"/>
        <v>4</v>
      </c>
      <c r="R23">
        <f t="shared" si="7"/>
        <v>400</v>
      </c>
      <c r="S23">
        <f t="shared" si="8"/>
        <v>1</v>
      </c>
      <c r="T23">
        <f t="shared" si="9"/>
        <v>482</v>
      </c>
      <c r="V23">
        <v>4786</v>
      </c>
      <c r="W23">
        <v>9225</v>
      </c>
      <c r="X23">
        <v>2651</v>
      </c>
      <c r="Y23">
        <f t="shared" si="2"/>
        <v>16662</v>
      </c>
      <c r="AA23">
        <v>1113</v>
      </c>
      <c r="AB23">
        <v>1075</v>
      </c>
      <c r="AC23">
        <v>1</v>
      </c>
      <c r="AD23">
        <v>35</v>
      </c>
      <c r="AE23">
        <v>2</v>
      </c>
      <c r="AF23">
        <v>6324</v>
      </c>
      <c r="AG23">
        <v>6142</v>
      </c>
      <c r="AH23">
        <v>16</v>
      </c>
      <c r="AI23">
        <v>73</v>
      </c>
      <c r="AJ23">
        <v>93</v>
      </c>
      <c r="AK23">
        <v>9225</v>
      </c>
      <c r="AL23">
        <v>6095</v>
      </c>
      <c r="AM23">
        <v>13</v>
      </c>
      <c r="AN23">
        <v>21</v>
      </c>
      <c r="AO23">
        <v>3096</v>
      </c>
      <c r="AP23">
        <v>16662</v>
      </c>
      <c r="AR23">
        <f t="shared" si="10"/>
        <v>13312</v>
      </c>
      <c r="AS23">
        <f t="shared" si="11"/>
        <v>30</v>
      </c>
      <c r="AT23">
        <f t="shared" si="12"/>
        <v>3191</v>
      </c>
      <c r="AU23">
        <f t="shared" si="13"/>
        <v>129</v>
      </c>
      <c r="AV23">
        <f t="shared" si="14"/>
        <v>16662</v>
      </c>
      <c r="AZ23">
        <v>81</v>
      </c>
      <c r="BA23">
        <v>2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405</v>
      </c>
      <c r="BK23">
        <v>0</v>
      </c>
      <c r="BL23">
        <v>0</v>
      </c>
      <c r="BM23">
        <v>0</v>
      </c>
      <c r="BN23">
        <v>17</v>
      </c>
      <c r="BO23">
        <v>0</v>
      </c>
      <c r="BP23">
        <v>1</v>
      </c>
      <c r="BQ23">
        <v>2</v>
      </c>
      <c r="BR23">
        <v>0</v>
      </c>
      <c r="BS23">
        <v>0</v>
      </c>
      <c r="BT23">
        <v>397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E23">
        <f t="shared" si="19"/>
        <v>885</v>
      </c>
      <c r="CF23">
        <f t="shared" si="20"/>
        <v>0</v>
      </c>
      <c r="CG23">
        <f t="shared" si="21"/>
        <v>4</v>
      </c>
      <c r="CH23">
        <f t="shared" si="22"/>
        <v>42</v>
      </c>
    </row>
    <row r="24" spans="1:86" x14ac:dyDescent="0.2">
      <c r="A24" s="2">
        <v>2008</v>
      </c>
      <c r="J24">
        <f t="shared" si="3"/>
        <v>13147</v>
      </c>
      <c r="K24">
        <f t="shared" si="4"/>
        <v>34</v>
      </c>
      <c r="L24">
        <f t="shared" si="5"/>
        <v>2689</v>
      </c>
      <c r="N24">
        <f t="shared" ref="N24:N36" si="23">CE24</f>
        <v>1333</v>
      </c>
      <c r="O24">
        <v>4</v>
      </c>
      <c r="P24">
        <f t="shared" ref="P24:P36" si="24">CG24</f>
        <v>1</v>
      </c>
      <c r="R24">
        <f t="shared" si="7"/>
        <v>1498</v>
      </c>
      <c r="S24">
        <f t="shared" si="8"/>
        <v>0</v>
      </c>
      <c r="T24">
        <f t="shared" si="9"/>
        <v>503</v>
      </c>
      <c r="W24">
        <v>8850</v>
      </c>
      <c r="X24">
        <v>2523</v>
      </c>
      <c r="AA24">
        <v>1081</v>
      </c>
      <c r="AB24">
        <v>1022</v>
      </c>
      <c r="AC24">
        <v>2</v>
      </c>
      <c r="AD24">
        <v>56</v>
      </c>
      <c r="AE24">
        <v>1</v>
      </c>
      <c r="AF24">
        <v>6129</v>
      </c>
      <c r="AG24">
        <v>5931</v>
      </c>
      <c r="AH24">
        <v>17</v>
      </c>
      <c r="AI24">
        <v>107</v>
      </c>
      <c r="AJ24">
        <v>74</v>
      </c>
      <c r="AK24">
        <v>8850</v>
      </c>
      <c r="AL24">
        <v>6194</v>
      </c>
      <c r="AM24">
        <v>15</v>
      </c>
      <c r="AN24">
        <v>27</v>
      </c>
      <c r="AO24">
        <v>2614</v>
      </c>
      <c r="AP24">
        <v>16060</v>
      </c>
      <c r="AR24">
        <f t="shared" si="10"/>
        <v>13147</v>
      </c>
      <c r="AS24">
        <f t="shared" si="11"/>
        <v>34</v>
      </c>
      <c r="AT24">
        <f t="shared" si="12"/>
        <v>2689</v>
      </c>
      <c r="AU24">
        <f t="shared" si="13"/>
        <v>190</v>
      </c>
      <c r="AV24">
        <f t="shared" si="14"/>
        <v>16060</v>
      </c>
      <c r="AZ24">
        <v>218</v>
      </c>
      <c r="BA24">
        <v>0</v>
      </c>
      <c r="BB24">
        <v>0</v>
      </c>
      <c r="BC24">
        <v>0</v>
      </c>
      <c r="BD24">
        <v>20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645</v>
      </c>
      <c r="BK24">
        <v>0</v>
      </c>
      <c r="BL24">
        <v>0</v>
      </c>
      <c r="BM24">
        <v>0</v>
      </c>
      <c r="BN24">
        <v>18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470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E24">
        <f t="shared" si="19"/>
        <v>1333</v>
      </c>
      <c r="CF24">
        <f t="shared" si="20"/>
        <v>1</v>
      </c>
      <c r="CG24">
        <f t="shared" si="21"/>
        <v>1</v>
      </c>
      <c r="CH24">
        <f t="shared" si="22"/>
        <v>38</v>
      </c>
    </row>
    <row r="25" spans="1:86" x14ac:dyDescent="0.2">
      <c r="A25" s="2">
        <v>2009</v>
      </c>
      <c r="J25">
        <f t="shared" si="3"/>
        <v>13669</v>
      </c>
      <c r="K25">
        <f t="shared" si="4"/>
        <v>24</v>
      </c>
      <c r="L25">
        <f t="shared" si="5"/>
        <v>2325</v>
      </c>
      <c r="N25">
        <f t="shared" si="23"/>
        <v>1095</v>
      </c>
      <c r="O25">
        <f t="shared" ref="O25:O36" si="25">CF25</f>
        <v>1</v>
      </c>
      <c r="P25">
        <f t="shared" si="24"/>
        <v>5</v>
      </c>
      <c r="R25">
        <f t="shared" si="7"/>
        <v>573</v>
      </c>
      <c r="S25">
        <f t="shared" si="8"/>
        <v>11</v>
      </c>
      <c r="T25">
        <f t="shared" si="9"/>
        <v>369</v>
      </c>
      <c r="W25">
        <v>8878</v>
      </c>
      <c r="X25">
        <v>2565</v>
      </c>
      <c r="AA25">
        <v>1157</v>
      </c>
      <c r="AB25">
        <v>1103</v>
      </c>
      <c r="AC25">
        <v>1</v>
      </c>
      <c r="AD25">
        <v>53</v>
      </c>
      <c r="AE25">
        <v>0</v>
      </c>
      <c r="AF25">
        <v>6172</v>
      </c>
      <c r="AG25">
        <v>5973</v>
      </c>
      <c r="AH25">
        <v>8</v>
      </c>
      <c r="AI25">
        <v>122</v>
      </c>
      <c r="AJ25">
        <v>69</v>
      </c>
      <c r="AK25">
        <v>8878</v>
      </c>
      <c r="AL25">
        <v>6593</v>
      </c>
      <c r="AM25">
        <v>15</v>
      </c>
      <c r="AN25">
        <v>14</v>
      </c>
      <c r="AO25">
        <v>2256</v>
      </c>
      <c r="AP25">
        <v>16207</v>
      </c>
      <c r="AR25">
        <f t="shared" si="10"/>
        <v>13669</v>
      </c>
      <c r="AS25">
        <f t="shared" si="11"/>
        <v>24</v>
      </c>
      <c r="AT25">
        <f t="shared" si="12"/>
        <v>2325</v>
      </c>
      <c r="AU25">
        <f t="shared" si="13"/>
        <v>189</v>
      </c>
      <c r="AV25">
        <f t="shared" si="14"/>
        <v>16207</v>
      </c>
      <c r="AZ25">
        <v>114</v>
      </c>
      <c r="BA25">
        <v>2</v>
      </c>
      <c r="BB25">
        <v>0</v>
      </c>
      <c r="BC25">
        <v>0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475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504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E25">
        <f t="shared" si="19"/>
        <v>1095</v>
      </c>
      <c r="CF25">
        <f t="shared" si="20"/>
        <v>1</v>
      </c>
      <c r="CG25">
        <f t="shared" si="21"/>
        <v>5</v>
      </c>
      <c r="CH25">
        <f t="shared" si="22"/>
        <v>17</v>
      </c>
    </row>
    <row r="26" spans="1:86" x14ac:dyDescent="0.2">
      <c r="A26" s="2">
        <v>2010</v>
      </c>
      <c r="J26">
        <f t="shared" si="3"/>
        <v>14116</v>
      </c>
      <c r="K26">
        <f t="shared" si="4"/>
        <v>25</v>
      </c>
      <c r="L26">
        <f t="shared" si="5"/>
        <v>1958</v>
      </c>
      <c r="N26">
        <f t="shared" si="23"/>
        <v>965</v>
      </c>
      <c r="O26">
        <f t="shared" si="25"/>
        <v>2</v>
      </c>
      <c r="P26">
        <f t="shared" si="24"/>
        <v>0</v>
      </c>
      <c r="R26">
        <f t="shared" si="7"/>
        <v>518</v>
      </c>
      <c r="S26">
        <f t="shared" si="8"/>
        <v>1</v>
      </c>
      <c r="T26">
        <f t="shared" si="9"/>
        <v>367</v>
      </c>
      <c r="V26">
        <v>4871</v>
      </c>
      <c r="W26">
        <v>8839</v>
      </c>
      <c r="X26">
        <v>2616</v>
      </c>
      <c r="Y26">
        <f>SUM($V26:$X26)</f>
        <v>16326</v>
      </c>
      <c r="AA26">
        <v>1224</v>
      </c>
      <c r="AB26">
        <v>1138</v>
      </c>
      <c r="AC26">
        <v>1</v>
      </c>
      <c r="AD26">
        <v>85</v>
      </c>
      <c r="AE26">
        <v>0</v>
      </c>
      <c r="AF26">
        <v>6263</v>
      </c>
      <c r="AG26">
        <v>6066</v>
      </c>
      <c r="AH26">
        <v>8</v>
      </c>
      <c r="AI26">
        <v>125</v>
      </c>
      <c r="AJ26">
        <v>64</v>
      </c>
      <c r="AK26">
        <v>8839</v>
      </c>
      <c r="AL26">
        <v>6912</v>
      </c>
      <c r="AM26">
        <v>16</v>
      </c>
      <c r="AN26">
        <v>17</v>
      </c>
      <c r="AO26">
        <v>1894</v>
      </c>
      <c r="AP26">
        <v>16326</v>
      </c>
      <c r="AR26">
        <f t="shared" si="10"/>
        <v>14116</v>
      </c>
      <c r="AS26">
        <f t="shared" si="11"/>
        <v>25</v>
      </c>
      <c r="AT26">
        <f t="shared" si="12"/>
        <v>1958</v>
      </c>
      <c r="AU26">
        <f t="shared" si="13"/>
        <v>227</v>
      </c>
      <c r="AV26">
        <f t="shared" si="14"/>
        <v>16326</v>
      </c>
      <c r="AZ26">
        <v>64</v>
      </c>
      <c r="BA26">
        <v>0</v>
      </c>
      <c r="BB26">
        <v>0</v>
      </c>
      <c r="BC26">
        <v>0</v>
      </c>
      <c r="BD26">
        <v>28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430</v>
      </c>
      <c r="BK26">
        <v>4</v>
      </c>
      <c r="BL26">
        <v>0</v>
      </c>
      <c r="BM26">
        <v>1</v>
      </c>
      <c r="BN26">
        <v>11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467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E26">
        <f t="shared" si="19"/>
        <v>965</v>
      </c>
      <c r="CF26">
        <f t="shared" si="20"/>
        <v>2</v>
      </c>
      <c r="CG26">
        <f t="shared" si="21"/>
        <v>0</v>
      </c>
      <c r="CH26">
        <f t="shared" si="22"/>
        <v>40</v>
      </c>
    </row>
    <row r="27" spans="1:86" x14ac:dyDescent="0.2">
      <c r="A27" s="2">
        <v>2011</v>
      </c>
      <c r="J27">
        <f t="shared" si="3"/>
        <v>14399</v>
      </c>
      <c r="K27">
        <f t="shared" si="4"/>
        <v>41</v>
      </c>
      <c r="L27">
        <f t="shared" si="5"/>
        <v>1710</v>
      </c>
      <c r="N27">
        <f t="shared" si="23"/>
        <v>1007</v>
      </c>
      <c r="O27">
        <v>16</v>
      </c>
      <c r="P27">
        <f t="shared" si="24"/>
        <v>3</v>
      </c>
      <c r="R27">
        <f t="shared" si="7"/>
        <v>724</v>
      </c>
      <c r="S27">
        <f t="shared" si="8"/>
        <v>0</v>
      </c>
      <c r="T27">
        <f t="shared" si="9"/>
        <v>251</v>
      </c>
      <c r="W27">
        <v>8671</v>
      </c>
      <c r="X27">
        <v>2698</v>
      </c>
      <c r="AA27">
        <v>1270</v>
      </c>
      <c r="AB27">
        <v>1170</v>
      </c>
      <c r="AC27">
        <v>13</v>
      </c>
      <c r="AD27">
        <v>87</v>
      </c>
      <c r="AE27">
        <v>0</v>
      </c>
      <c r="AF27">
        <v>6440</v>
      </c>
      <c r="AG27">
        <v>6238</v>
      </c>
      <c r="AH27">
        <v>9</v>
      </c>
      <c r="AI27">
        <v>129</v>
      </c>
      <c r="AJ27">
        <v>64</v>
      </c>
      <c r="AK27">
        <v>8671</v>
      </c>
      <c r="AL27">
        <v>6991</v>
      </c>
      <c r="AM27">
        <v>19</v>
      </c>
      <c r="AN27">
        <v>15</v>
      </c>
      <c r="AO27">
        <v>1646</v>
      </c>
      <c r="AP27">
        <v>16381</v>
      </c>
      <c r="AR27">
        <f t="shared" si="10"/>
        <v>14399</v>
      </c>
      <c r="AS27">
        <f t="shared" si="11"/>
        <v>41</v>
      </c>
      <c r="AT27">
        <f t="shared" si="12"/>
        <v>1710</v>
      </c>
      <c r="AU27">
        <f t="shared" si="13"/>
        <v>231</v>
      </c>
      <c r="AV27">
        <f t="shared" si="14"/>
        <v>16381</v>
      </c>
      <c r="AZ27">
        <v>155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474</v>
      </c>
      <c r="BK27">
        <v>19</v>
      </c>
      <c r="BL27">
        <v>1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358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E27">
        <f t="shared" si="19"/>
        <v>1007</v>
      </c>
      <c r="CF27">
        <f t="shared" si="20"/>
        <v>2</v>
      </c>
      <c r="CG27">
        <f t="shared" si="21"/>
        <v>3</v>
      </c>
      <c r="CH27">
        <f t="shared" si="22"/>
        <v>5</v>
      </c>
    </row>
    <row r="28" spans="1:86" x14ac:dyDescent="0.2">
      <c r="A28" s="2">
        <v>2012</v>
      </c>
      <c r="J28">
        <f t="shared" si="3"/>
        <v>14487</v>
      </c>
      <c r="K28">
        <f t="shared" si="4"/>
        <v>42</v>
      </c>
      <c r="L28">
        <f t="shared" si="5"/>
        <v>1469</v>
      </c>
      <c r="N28">
        <f t="shared" si="23"/>
        <v>969</v>
      </c>
      <c r="O28">
        <f t="shared" si="25"/>
        <v>3</v>
      </c>
      <c r="P28">
        <f t="shared" si="24"/>
        <v>6</v>
      </c>
      <c r="R28">
        <f t="shared" si="7"/>
        <v>881</v>
      </c>
      <c r="S28">
        <f t="shared" si="8"/>
        <v>2</v>
      </c>
      <c r="T28">
        <f t="shared" si="9"/>
        <v>247</v>
      </c>
      <c r="W28">
        <v>8393</v>
      </c>
      <c r="X28">
        <v>2748</v>
      </c>
      <c r="AA28">
        <v>1310</v>
      </c>
      <c r="AB28">
        <v>1210</v>
      </c>
      <c r="AC28">
        <v>13</v>
      </c>
      <c r="AD28">
        <v>87</v>
      </c>
      <c r="AE28">
        <v>0</v>
      </c>
      <c r="AF28">
        <v>6542</v>
      </c>
      <c r="AG28">
        <v>6320</v>
      </c>
      <c r="AH28">
        <v>10</v>
      </c>
      <c r="AI28">
        <v>148</v>
      </c>
      <c r="AJ28">
        <v>64</v>
      </c>
      <c r="AK28">
        <v>8393</v>
      </c>
      <c r="AL28">
        <v>6957</v>
      </c>
      <c r="AM28">
        <v>19</v>
      </c>
      <c r="AN28">
        <v>12</v>
      </c>
      <c r="AO28">
        <v>1405</v>
      </c>
      <c r="AP28">
        <v>16245</v>
      </c>
      <c r="AR28">
        <f t="shared" si="10"/>
        <v>14487</v>
      </c>
      <c r="AS28">
        <f t="shared" si="11"/>
        <v>42</v>
      </c>
      <c r="AT28">
        <f t="shared" si="12"/>
        <v>1469</v>
      </c>
      <c r="AU28">
        <f t="shared" si="13"/>
        <v>247</v>
      </c>
      <c r="AV28">
        <f t="shared" si="14"/>
        <v>16245</v>
      </c>
      <c r="AZ28">
        <v>73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413</v>
      </c>
      <c r="BK28">
        <v>18</v>
      </c>
      <c r="BL28">
        <v>0</v>
      </c>
      <c r="BM28">
        <v>2</v>
      </c>
      <c r="BN28">
        <v>4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464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0</v>
      </c>
      <c r="CE28">
        <f t="shared" si="19"/>
        <v>969</v>
      </c>
      <c r="CF28">
        <f t="shared" si="20"/>
        <v>3</v>
      </c>
      <c r="CG28">
        <f t="shared" si="21"/>
        <v>6</v>
      </c>
      <c r="CH28">
        <f t="shared" si="22"/>
        <v>5</v>
      </c>
    </row>
    <row r="29" spans="1:86" x14ac:dyDescent="0.2">
      <c r="A29" s="2">
        <v>2013</v>
      </c>
      <c r="J29">
        <f t="shared" si="3"/>
        <v>13967</v>
      </c>
      <c r="K29">
        <f t="shared" si="4"/>
        <v>45</v>
      </c>
      <c r="L29">
        <f t="shared" si="5"/>
        <v>1182</v>
      </c>
      <c r="N29">
        <f t="shared" si="23"/>
        <v>924</v>
      </c>
      <c r="O29">
        <f t="shared" si="25"/>
        <v>3</v>
      </c>
      <c r="P29">
        <f t="shared" si="24"/>
        <v>7</v>
      </c>
      <c r="R29">
        <f t="shared" si="7"/>
        <v>1444</v>
      </c>
      <c r="S29">
        <f t="shared" si="8"/>
        <v>0</v>
      </c>
      <c r="T29">
        <f t="shared" si="9"/>
        <v>294</v>
      </c>
      <c r="W29">
        <v>7568</v>
      </c>
      <c r="X29">
        <v>2767</v>
      </c>
      <c r="AA29">
        <v>1351</v>
      </c>
      <c r="AB29">
        <v>1243</v>
      </c>
      <c r="AC29">
        <v>14</v>
      </c>
      <c r="AD29">
        <v>94</v>
      </c>
      <c r="AE29">
        <v>0</v>
      </c>
      <c r="AF29">
        <v>6554</v>
      </c>
      <c r="AG29">
        <v>6309</v>
      </c>
      <c r="AH29">
        <v>12</v>
      </c>
      <c r="AI29">
        <v>173</v>
      </c>
      <c r="AJ29">
        <v>60</v>
      </c>
      <c r="AK29">
        <v>7568</v>
      </c>
      <c r="AL29">
        <v>6415</v>
      </c>
      <c r="AM29">
        <v>19</v>
      </c>
      <c r="AN29">
        <v>12</v>
      </c>
      <c r="AO29">
        <v>1122</v>
      </c>
      <c r="AP29">
        <v>15473</v>
      </c>
      <c r="AR29">
        <f t="shared" si="10"/>
        <v>13967</v>
      </c>
      <c r="AS29">
        <f t="shared" si="11"/>
        <v>45</v>
      </c>
      <c r="AT29">
        <f t="shared" si="12"/>
        <v>1182</v>
      </c>
      <c r="AU29">
        <f t="shared" si="13"/>
        <v>279</v>
      </c>
      <c r="AV29">
        <f t="shared" si="14"/>
        <v>15473</v>
      </c>
      <c r="AZ29">
        <v>94</v>
      </c>
      <c r="BA29">
        <v>0</v>
      </c>
      <c r="BB29">
        <v>4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474</v>
      </c>
      <c r="BK29">
        <v>16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340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6</v>
      </c>
      <c r="CB29">
        <v>0</v>
      </c>
      <c r="CC29">
        <v>0</v>
      </c>
      <c r="CE29">
        <f t="shared" si="19"/>
        <v>924</v>
      </c>
      <c r="CF29">
        <f t="shared" si="20"/>
        <v>3</v>
      </c>
      <c r="CG29">
        <f t="shared" si="21"/>
        <v>7</v>
      </c>
      <c r="CH29">
        <f t="shared" si="22"/>
        <v>5</v>
      </c>
    </row>
    <row r="30" spans="1:86" x14ac:dyDescent="0.2">
      <c r="A30" s="2">
        <v>2014</v>
      </c>
      <c r="J30">
        <f t="shared" si="3"/>
        <v>13774</v>
      </c>
      <c r="K30">
        <f t="shared" si="4"/>
        <v>48</v>
      </c>
      <c r="L30">
        <f t="shared" si="5"/>
        <v>954</v>
      </c>
      <c r="N30">
        <f t="shared" si="23"/>
        <v>835</v>
      </c>
      <c r="O30">
        <f t="shared" si="25"/>
        <v>3</v>
      </c>
      <c r="P30">
        <f t="shared" si="24"/>
        <v>7</v>
      </c>
      <c r="R30">
        <f t="shared" si="7"/>
        <v>1028</v>
      </c>
      <c r="S30">
        <f t="shared" si="8"/>
        <v>0</v>
      </c>
      <c r="T30">
        <f t="shared" si="9"/>
        <v>235</v>
      </c>
      <c r="W30">
        <v>6962</v>
      </c>
      <c r="X30">
        <v>2827</v>
      </c>
      <c r="AA30">
        <v>1422</v>
      </c>
      <c r="AB30">
        <v>1314</v>
      </c>
      <c r="AC30">
        <v>14</v>
      </c>
      <c r="AD30">
        <v>94</v>
      </c>
      <c r="AE30">
        <v>0</v>
      </c>
      <c r="AF30">
        <v>6656</v>
      </c>
      <c r="AG30">
        <v>6421</v>
      </c>
      <c r="AH30">
        <v>14</v>
      </c>
      <c r="AI30">
        <v>164</v>
      </c>
      <c r="AJ30">
        <v>57</v>
      </c>
      <c r="AK30">
        <v>6962</v>
      </c>
      <c r="AL30">
        <v>6039</v>
      </c>
      <c r="AM30">
        <v>20</v>
      </c>
      <c r="AN30">
        <v>6</v>
      </c>
      <c r="AO30">
        <v>897</v>
      </c>
      <c r="AP30">
        <v>15040</v>
      </c>
      <c r="AR30">
        <f t="shared" si="10"/>
        <v>13774</v>
      </c>
      <c r="AS30">
        <f t="shared" si="11"/>
        <v>48</v>
      </c>
      <c r="AT30">
        <f t="shared" si="12"/>
        <v>954</v>
      </c>
      <c r="AU30">
        <f t="shared" si="13"/>
        <v>264</v>
      </c>
      <c r="AV30">
        <f t="shared" si="14"/>
        <v>15040</v>
      </c>
      <c r="AZ30">
        <v>102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547</v>
      </c>
      <c r="BK30">
        <v>10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175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E30">
        <f t="shared" si="19"/>
        <v>835</v>
      </c>
      <c r="CF30">
        <f t="shared" si="20"/>
        <v>3</v>
      </c>
      <c r="CG30">
        <f t="shared" si="21"/>
        <v>7</v>
      </c>
      <c r="CH30">
        <f t="shared" si="22"/>
        <v>2</v>
      </c>
    </row>
    <row r="31" spans="1:86" x14ac:dyDescent="0.2">
      <c r="A31" s="2">
        <v>2015</v>
      </c>
      <c r="J31">
        <f t="shared" si="3"/>
        <v>13759</v>
      </c>
      <c r="K31">
        <f t="shared" si="4"/>
        <v>51</v>
      </c>
      <c r="L31">
        <f t="shared" si="5"/>
        <v>811</v>
      </c>
      <c r="N31">
        <f t="shared" si="23"/>
        <v>1150</v>
      </c>
      <c r="O31">
        <f t="shared" si="25"/>
        <v>3</v>
      </c>
      <c r="P31">
        <f t="shared" si="24"/>
        <v>0</v>
      </c>
      <c r="R31">
        <f t="shared" si="7"/>
        <v>1165</v>
      </c>
      <c r="S31">
        <f t="shared" si="8"/>
        <v>0</v>
      </c>
      <c r="T31">
        <f t="shared" si="9"/>
        <v>143</v>
      </c>
      <c r="V31">
        <v>5410</v>
      </c>
      <c r="W31">
        <v>6618</v>
      </c>
      <c r="X31">
        <v>2896</v>
      </c>
      <c r="Y31">
        <f>SUM($V31:$X31)</f>
        <v>14924</v>
      </c>
      <c r="AA31">
        <v>1494</v>
      </c>
      <c r="AB31">
        <v>1384</v>
      </c>
      <c r="AC31">
        <v>14</v>
      </c>
      <c r="AD31">
        <v>96</v>
      </c>
      <c r="AE31">
        <v>0</v>
      </c>
      <c r="AF31">
        <v>6779</v>
      </c>
      <c r="AG31">
        <v>6539</v>
      </c>
      <c r="AH31">
        <v>16</v>
      </c>
      <c r="AI31">
        <v>168</v>
      </c>
      <c r="AJ31">
        <v>56</v>
      </c>
      <c r="AK31">
        <v>6618</v>
      </c>
      <c r="AL31">
        <v>5836</v>
      </c>
      <c r="AM31">
        <v>21</v>
      </c>
      <c r="AN31">
        <v>6</v>
      </c>
      <c r="AO31">
        <v>755</v>
      </c>
      <c r="AP31">
        <v>14891</v>
      </c>
      <c r="AR31">
        <f t="shared" si="10"/>
        <v>13759</v>
      </c>
      <c r="AS31">
        <f t="shared" si="11"/>
        <v>51</v>
      </c>
      <c r="AT31">
        <f t="shared" si="12"/>
        <v>811</v>
      </c>
      <c r="AU31">
        <f t="shared" si="13"/>
        <v>270</v>
      </c>
      <c r="AV31">
        <f t="shared" si="14"/>
        <v>14891</v>
      </c>
      <c r="AZ31">
        <v>187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555</v>
      </c>
      <c r="BK31">
        <v>21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f t="shared" si="19"/>
        <v>1150</v>
      </c>
      <c r="CF31">
        <f t="shared" si="20"/>
        <v>3</v>
      </c>
      <c r="CG31">
        <f t="shared" si="21"/>
        <v>0</v>
      </c>
      <c r="CH31">
        <f t="shared" si="22"/>
        <v>0</v>
      </c>
    </row>
    <row r="32" spans="1:86" x14ac:dyDescent="0.2">
      <c r="A32" s="2">
        <v>2016</v>
      </c>
      <c r="J32">
        <f t="shared" si="3"/>
        <v>13700</v>
      </c>
      <c r="K32">
        <f t="shared" si="4"/>
        <v>52</v>
      </c>
      <c r="L32">
        <f t="shared" si="5"/>
        <v>704</v>
      </c>
      <c r="N32">
        <f t="shared" si="23"/>
        <v>875</v>
      </c>
      <c r="O32">
        <f t="shared" si="25"/>
        <v>2</v>
      </c>
      <c r="P32">
        <f t="shared" si="24"/>
        <v>6</v>
      </c>
      <c r="R32">
        <f t="shared" si="7"/>
        <v>934</v>
      </c>
      <c r="S32">
        <f t="shared" si="8"/>
        <v>1</v>
      </c>
      <c r="T32">
        <f t="shared" si="9"/>
        <v>113</v>
      </c>
      <c r="W32">
        <v>6288</v>
      </c>
      <c r="X32">
        <v>2959</v>
      </c>
      <c r="AA32">
        <v>1572</v>
      </c>
      <c r="AB32">
        <v>1455</v>
      </c>
      <c r="AC32">
        <v>14</v>
      </c>
      <c r="AD32">
        <v>103</v>
      </c>
      <c r="AE32">
        <v>0</v>
      </c>
      <c r="AF32">
        <v>6882</v>
      </c>
      <c r="AG32">
        <v>6638</v>
      </c>
      <c r="AH32">
        <v>16</v>
      </c>
      <c r="AI32">
        <v>177</v>
      </c>
      <c r="AJ32">
        <v>51</v>
      </c>
      <c r="AK32">
        <v>6288</v>
      </c>
      <c r="AL32">
        <v>5607</v>
      </c>
      <c r="AM32">
        <v>22</v>
      </c>
      <c r="AN32">
        <v>6</v>
      </c>
      <c r="AO32">
        <v>653</v>
      </c>
      <c r="AP32">
        <v>14742</v>
      </c>
      <c r="AR32">
        <f t="shared" si="10"/>
        <v>13700</v>
      </c>
      <c r="AS32">
        <f t="shared" si="11"/>
        <v>52</v>
      </c>
      <c r="AT32">
        <f t="shared" si="12"/>
        <v>704</v>
      </c>
      <c r="AU32">
        <f t="shared" si="13"/>
        <v>286</v>
      </c>
      <c r="AV32">
        <f t="shared" si="14"/>
        <v>14742</v>
      </c>
      <c r="AZ32">
        <v>115</v>
      </c>
      <c r="BA32">
        <v>22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561</v>
      </c>
      <c r="BK32">
        <v>8</v>
      </c>
      <c r="BL32">
        <v>0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169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E32">
        <f t="shared" si="19"/>
        <v>875</v>
      </c>
      <c r="CF32">
        <f t="shared" si="20"/>
        <v>2</v>
      </c>
      <c r="CG32">
        <f t="shared" si="21"/>
        <v>6</v>
      </c>
      <c r="CH32">
        <f t="shared" si="22"/>
        <v>3</v>
      </c>
    </row>
    <row r="33" spans="1:86" x14ac:dyDescent="0.2">
      <c r="A33" s="2">
        <v>2017</v>
      </c>
      <c r="J33">
        <f t="shared" si="3"/>
        <v>13593</v>
      </c>
      <c r="K33">
        <f t="shared" si="4"/>
        <v>54</v>
      </c>
      <c r="L33">
        <f t="shared" si="5"/>
        <v>622</v>
      </c>
      <c r="N33">
        <f t="shared" si="23"/>
        <v>863</v>
      </c>
      <c r="O33">
        <f t="shared" si="25"/>
        <v>8</v>
      </c>
      <c r="P33">
        <f t="shared" si="24"/>
        <v>1</v>
      </c>
      <c r="R33">
        <f t="shared" si="7"/>
        <v>970</v>
      </c>
      <c r="S33">
        <f t="shared" si="8"/>
        <v>6</v>
      </c>
      <c r="T33">
        <f t="shared" si="9"/>
        <v>83</v>
      </c>
      <c r="W33">
        <v>5984</v>
      </c>
      <c r="X33">
        <v>3010</v>
      </c>
      <c r="AA33">
        <v>1615</v>
      </c>
      <c r="AB33">
        <v>1472</v>
      </c>
      <c r="AC33">
        <v>14</v>
      </c>
      <c r="AD33">
        <v>129</v>
      </c>
      <c r="AE33">
        <v>0</v>
      </c>
      <c r="AF33">
        <v>6984</v>
      </c>
      <c r="AG33">
        <v>6737</v>
      </c>
      <c r="AH33">
        <v>16</v>
      </c>
      <c r="AI33">
        <v>178</v>
      </c>
      <c r="AJ33">
        <v>53</v>
      </c>
      <c r="AK33">
        <v>5984</v>
      </c>
      <c r="AL33">
        <v>5384</v>
      </c>
      <c r="AM33">
        <v>24</v>
      </c>
      <c r="AN33">
        <v>7</v>
      </c>
      <c r="AO33">
        <v>569</v>
      </c>
      <c r="AP33">
        <v>14583</v>
      </c>
      <c r="AR33">
        <f t="shared" si="10"/>
        <v>13593</v>
      </c>
      <c r="AS33">
        <f t="shared" si="11"/>
        <v>54</v>
      </c>
      <c r="AT33">
        <f t="shared" si="12"/>
        <v>622</v>
      </c>
      <c r="AU33">
        <f t="shared" si="13"/>
        <v>314</v>
      </c>
      <c r="AV33">
        <f t="shared" si="14"/>
        <v>14583</v>
      </c>
      <c r="AZ33">
        <v>145</v>
      </c>
      <c r="BA33">
        <v>13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553</v>
      </c>
      <c r="BK33">
        <v>11</v>
      </c>
      <c r="BL33">
        <v>0</v>
      </c>
      <c r="BM33">
        <v>2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141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E33">
        <f t="shared" si="19"/>
        <v>863</v>
      </c>
      <c r="CF33">
        <f t="shared" si="20"/>
        <v>8</v>
      </c>
      <c r="CG33">
        <f t="shared" si="21"/>
        <v>1</v>
      </c>
      <c r="CH33">
        <f t="shared" si="22"/>
        <v>2</v>
      </c>
    </row>
    <row r="34" spans="1:86" x14ac:dyDescent="0.2">
      <c r="A34" s="2">
        <v>2018</v>
      </c>
      <c r="J34">
        <f t="shared" si="3"/>
        <v>13472</v>
      </c>
      <c r="K34">
        <f t="shared" si="4"/>
        <v>72</v>
      </c>
      <c r="L34">
        <f t="shared" si="5"/>
        <v>530</v>
      </c>
      <c r="N34">
        <f t="shared" si="23"/>
        <v>826</v>
      </c>
      <c r="O34">
        <f t="shared" si="25"/>
        <v>20</v>
      </c>
      <c r="P34">
        <f t="shared" si="24"/>
        <v>1</v>
      </c>
      <c r="R34">
        <f t="shared" si="7"/>
        <v>947</v>
      </c>
      <c r="S34">
        <f t="shared" si="8"/>
        <v>2</v>
      </c>
      <c r="T34">
        <f t="shared" si="9"/>
        <v>93</v>
      </c>
      <c r="W34">
        <v>5613</v>
      </c>
      <c r="X34">
        <v>3074</v>
      </c>
      <c r="AA34">
        <v>1712</v>
      </c>
      <c r="AB34">
        <v>1552</v>
      </c>
      <c r="AC34">
        <v>26</v>
      </c>
      <c r="AD34">
        <v>134</v>
      </c>
      <c r="AE34">
        <v>0</v>
      </c>
      <c r="AF34">
        <v>7070</v>
      </c>
      <c r="AG34">
        <v>6822</v>
      </c>
      <c r="AH34">
        <v>19</v>
      </c>
      <c r="AI34">
        <v>181</v>
      </c>
      <c r="AJ34">
        <v>48</v>
      </c>
      <c r="AK34">
        <v>5613</v>
      </c>
      <c r="AL34">
        <v>5098</v>
      </c>
      <c r="AM34">
        <v>27</v>
      </c>
      <c r="AN34">
        <v>6</v>
      </c>
      <c r="AO34">
        <v>482</v>
      </c>
      <c r="AP34">
        <v>14395</v>
      </c>
      <c r="AR34">
        <f t="shared" si="10"/>
        <v>13472</v>
      </c>
      <c r="AS34">
        <f t="shared" si="11"/>
        <v>72</v>
      </c>
      <c r="AT34">
        <f t="shared" si="12"/>
        <v>530</v>
      </c>
      <c r="AU34">
        <f t="shared" si="13"/>
        <v>321</v>
      </c>
      <c r="AV34">
        <f t="shared" si="14"/>
        <v>14395</v>
      </c>
      <c r="AZ34">
        <v>122</v>
      </c>
      <c r="BA34">
        <v>5</v>
      </c>
      <c r="BB34">
        <v>0</v>
      </c>
      <c r="BC34">
        <v>13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517</v>
      </c>
      <c r="BK34">
        <v>31</v>
      </c>
      <c r="BL34">
        <v>0</v>
      </c>
      <c r="BM34">
        <v>5</v>
      </c>
      <c r="BN34">
        <v>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151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f t="shared" si="19"/>
        <v>826</v>
      </c>
      <c r="CF34">
        <f t="shared" si="20"/>
        <v>20</v>
      </c>
      <c r="CG34">
        <f t="shared" si="21"/>
        <v>1</v>
      </c>
      <c r="CH34">
        <f t="shared" si="22"/>
        <v>3</v>
      </c>
    </row>
    <row r="35" spans="1:86" x14ac:dyDescent="0.2">
      <c r="A35" s="2">
        <v>2019</v>
      </c>
      <c r="J35">
        <f t="shared" si="3"/>
        <v>13352</v>
      </c>
      <c r="K35">
        <f t="shared" si="4"/>
        <v>83</v>
      </c>
      <c r="L35">
        <f t="shared" si="5"/>
        <v>453</v>
      </c>
      <c r="N35">
        <f t="shared" si="23"/>
        <v>786</v>
      </c>
      <c r="O35">
        <f t="shared" si="25"/>
        <v>13</v>
      </c>
      <c r="P35">
        <f t="shared" si="24"/>
        <v>4</v>
      </c>
      <c r="R35">
        <f t="shared" si="7"/>
        <v>906</v>
      </c>
      <c r="S35">
        <f t="shared" si="8"/>
        <v>2</v>
      </c>
      <c r="T35">
        <f t="shared" si="9"/>
        <v>81</v>
      </c>
      <c r="W35">
        <v>5304</v>
      </c>
      <c r="X35">
        <v>3136</v>
      </c>
      <c r="AA35">
        <v>1780</v>
      </c>
      <c r="AB35">
        <v>1614</v>
      </c>
      <c r="AC35">
        <v>31</v>
      </c>
      <c r="AD35">
        <v>135</v>
      </c>
      <c r="AE35">
        <v>0</v>
      </c>
      <c r="AF35">
        <v>7181</v>
      </c>
      <c r="AG35">
        <v>6877</v>
      </c>
      <c r="AH35">
        <v>24</v>
      </c>
      <c r="AI35">
        <v>236</v>
      </c>
      <c r="AJ35">
        <v>44</v>
      </c>
      <c r="AK35">
        <v>5304</v>
      </c>
      <c r="AL35">
        <v>4861</v>
      </c>
      <c r="AM35">
        <v>28</v>
      </c>
      <c r="AN35">
        <v>6</v>
      </c>
      <c r="AO35">
        <v>409</v>
      </c>
      <c r="AP35">
        <v>14265</v>
      </c>
      <c r="AR35">
        <f t="shared" si="10"/>
        <v>13352</v>
      </c>
      <c r="AS35">
        <f t="shared" si="11"/>
        <v>83</v>
      </c>
      <c r="AT35">
        <f t="shared" si="12"/>
        <v>453</v>
      </c>
      <c r="AU35">
        <f t="shared" si="13"/>
        <v>377</v>
      </c>
      <c r="AV35">
        <f t="shared" si="14"/>
        <v>14265</v>
      </c>
      <c r="AZ35">
        <v>68</v>
      </c>
      <c r="BA35">
        <v>6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485</v>
      </c>
      <c r="BK35">
        <v>96</v>
      </c>
      <c r="BL35">
        <v>0</v>
      </c>
      <c r="BM35">
        <v>9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131</v>
      </c>
      <c r="BU35">
        <v>0</v>
      </c>
      <c r="BV35">
        <v>0</v>
      </c>
      <c r="BW35">
        <v>2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0</v>
      </c>
      <c r="CE35">
        <f t="shared" si="19"/>
        <v>786</v>
      </c>
      <c r="CF35">
        <f t="shared" si="20"/>
        <v>13</v>
      </c>
      <c r="CG35">
        <f t="shared" si="21"/>
        <v>4</v>
      </c>
      <c r="CH35">
        <f t="shared" si="22"/>
        <v>1</v>
      </c>
    </row>
    <row r="36" spans="1:86" x14ac:dyDescent="0.2">
      <c r="A36" s="2">
        <v>2020</v>
      </c>
      <c r="J36">
        <f t="shared" si="3"/>
        <v>12136</v>
      </c>
      <c r="K36">
        <f t="shared" si="4"/>
        <v>94</v>
      </c>
      <c r="L36">
        <f t="shared" si="5"/>
        <v>385</v>
      </c>
      <c r="N36">
        <f t="shared" si="23"/>
        <v>798</v>
      </c>
      <c r="O36">
        <f t="shared" si="25"/>
        <v>29</v>
      </c>
      <c r="P36">
        <f t="shared" si="24"/>
        <v>2</v>
      </c>
      <c r="R36">
        <f t="shared" si="7"/>
        <v>2014</v>
      </c>
      <c r="S36">
        <f t="shared" si="8"/>
        <v>18</v>
      </c>
      <c r="T36">
        <f t="shared" si="9"/>
        <v>70</v>
      </c>
      <c r="V36">
        <v>6010</v>
      </c>
      <c r="W36">
        <v>4839</v>
      </c>
      <c r="X36">
        <v>2895</v>
      </c>
      <c r="Y36">
        <f>SUM($V36:$X36)</f>
        <v>13744</v>
      </c>
      <c r="AA36">
        <v>1845</v>
      </c>
      <c r="AB36">
        <v>1653</v>
      </c>
      <c r="AC36">
        <v>35</v>
      </c>
      <c r="AD36">
        <v>157</v>
      </c>
      <c r="AE36">
        <v>0</v>
      </c>
      <c r="AF36">
        <v>6427</v>
      </c>
      <c r="AG36">
        <v>6026</v>
      </c>
      <c r="AH36">
        <v>28</v>
      </c>
      <c r="AI36">
        <v>334</v>
      </c>
      <c r="AJ36">
        <v>39</v>
      </c>
      <c r="AK36">
        <v>4839</v>
      </c>
      <c r="AL36">
        <v>4457</v>
      </c>
      <c r="AM36">
        <v>31</v>
      </c>
      <c r="AN36">
        <v>5</v>
      </c>
      <c r="AO36">
        <v>346</v>
      </c>
      <c r="AP36">
        <v>13111</v>
      </c>
      <c r="AR36">
        <f t="shared" si="10"/>
        <v>12136</v>
      </c>
      <c r="AS36">
        <f t="shared" si="11"/>
        <v>94</v>
      </c>
      <c r="AT36">
        <f t="shared" si="12"/>
        <v>385</v>
      </c>
      <c r="AU36">
        <f t="shared" si="13"/>
        <v>496</v>
      </c>
      <c r="AV36">
        <f t="shared" si="14"/>
        <v>13111</v>
      </c>
      <c r="AZ36">
        <v>103</v>
      </c>
      <c r="BA36">
        <v>48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353</v>
      </c>
      <c r="BK36">
        <v>150</v>
      </c>
      <c r="BL36">
        <v>0</v>
      </c>
      <c r="BM36">
        <v>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E36">
        <f t="shared" si="19"/>
        <v>798</v>
      </c>
      <c r="CF36">
        <f t="shared" si="20"/>
        <v>29</v>
      </c>
      <c r="CG36">
        <f t="shared" si="21"/>
        <v>2</v>
      </c>
      <c r="CH36">
        <f t="shared" si="22"/>
        <v>0</v>
      </c>
    </row>
    <row r="37" spans="1:86" x14ac:dyDescent="0.2">
      <c r="A37" s="2">
        <v>2021</v>
      </c>
      <c r="J37">
        <f t="shared" si="3"/>
        <v>12177</v>
      </c>
      <c r="K37">
        <f t="shared" si="4"/>
        <v>138</v>
      </c>
      <c r="L37">
        <f t="shared" si="5"/>
        <v>340</v>
      </c>
      <c r="N37">
        <f>CE37</f>
        <v>759</v>
      </c>
      <c r="O37">
        <f t="shared" ref="O37" si="26">CF37</f>
        <v>60</v>
      </c>
      <c r="P37">
        <f t="shared" ref="P37" si="27">CG37</f>
        <v>3</v>
      </c>
      <c r="R37">
        <f t="shared" si="7"/>
        <v>718</v>
      </c>
      <c r="S37">
        <f t="shared" si="8"/>
        <v>16</v>
      </c>
      <c r="T37">
        <f t="shared" si="9"/>
        <v>48</v>
      </c>
      <c r="W37">
        <v>4580</v>
      </c>
      <c r="X37">
        <v>3076</v>
      </c>
      <c r="AA37">
        <v>1925</v>
      </c>
      <c r="AB37">
        <v>1666</v>
      </c>
      <c r="AC37">
        <v>57</v>
      </c>
      <c r="AD37">
        <v>202</v>
      </c>
      <c r="AE37">
        <v>0</v>
      </c>
      <c r="AF37">
        <v>6863</v>
      </c>
      <c r="AG37">
        <v>6269</v>
      </c>
      <c r="AH37">
        <v>47</v>
      </c>
      <c r="AI37">
        <v>505</v>
      </c>
      <c r="AJ37">
        <v>42</v>
      </c>
      <c r="AK37">
        <v>4580</v>
      </c>
      <c r="AL37">
        <v>4242</v>
      </c>
      <c r="AM37">
        <v>34</v>
      </c>
      <c r="AN37">
        <v>6</v>
      </c>
      <c r="AO37">
        <v>298</v>
      </c>
      <c r="AP37">
        <v>13368</v>
      </c>
      <c r="AR37">
        <f t="shared" si="10"/>
        <v>12177</v>
      </c>
      <c r="AS37">
        <f t="shared" si="11"/>
        <v>138</v>
      </c>
      <c r="AT37">
        <f t="shared" si="12"/>
        <v>340</v>
      </c>
      <c r="AU37">
        <f t="shared" si="13"/>
        <v>713</v>
      </c>
      <c r="AV37">
        <f t="shared" si="14"/>
        <v>13368</v>
      </c>
      <c r="AZ37">
        <v>99</v>
      </c>
      <c r="BA37">
        <v>44</v>
      </c>
      <c r="BB37">
        <v>0</v>
      </c>
      <c r="BC37">
        <v>22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331</v>
      </c>
      <c r="BK37">
        <v>169</v>
      </c>
      <c r="BL37">
        <v>0</v>
      </c>
      <c r="BM37">
        <v>33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115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3</v>
      </c>
      <c r="CB37">
        <v>0</v>
      </c>
      <c r="CC37">
        <v>0</v>
      </c>
      <c r="CE37">
        <f t="shared" si="19"/>
        <v>759</v>
      </c>
      <c r="CF37">
        <f t="shared" si="20"/>
        <v>60</v>
      </c>
      <c r="CG37">
        <f t="shared" si="21"/>
        <v>3</v>
      </c>
      <c r="CH37">
        <f t="shared" si="22"/>
        <v>5</v>
      </c>
    </row>
    <row r="39" spans="1:86" x14ac:dyDescent="0.2">
      <c r="A39"/>
    </row>
    <row r="40" spans="1:8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O40">
        <f>AVERAGE(O7:O37)</f>
        <v>6.419354838709677</v>
      </c>
      <c r="AA40" s="83" t="s">
        <v>68</v>
      </c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22"/>
      <c r="AR40" s="22"/>
      <c r="AS40" s="22"/>
      <c r="AT40" s="22"/>
      <c r="AU40" s="22"/>
      <c r="AV40" s="22"/>
      <c r="AW40" s="22"/>
      <c r="AX40" s="22"/>
    </row>
    <row r="41" spans="1:86" x14ac:dyDescent="0.2">
      <c r="B41" s="36"/>
      <c r="C41" s="36"/>
      <c r="D41" s="36"/>
      <c r="E41" s="44"/>
      <c r="F41" s="36"/>
      <c r="G41" s="36"/>
      <c r="H41" s="36"/>
      <c r="I41" s="44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22"/>
      <c r="AR41" s="22"/>
      <c r="AS41" s="22"/>
      <c r="AT41" s="22"/>
      <c r="AU41" s="22"/>
      <c r="AV41" s="22"/>
      <c r="AW41" s="22"/>
      <c r="AX41" s="22"/>
    </row>
    <row r="42" spans="1:8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22"/>
      <c r="AR42" s="22"/>
      <c r="AS42" s="22"/>
      <c r="AT42" s="22"/>
      <c r="AU42" s="22"/>
      <c r="AV42" s="22"/>
      <c r="AW42" s="22"/>
      <c r="AX42" s="22"/>
    </row>
    <row r="43" spans="1:86" x14ac:dyDescent="0.2">
      <c r="A43" s="2" t="s">
        <v>86</v>
      </c>
    </row>
    <row r="44" spans="1:86" x14ac:dyDescent="0.2">
      <c r="A44" s="2" t="s">
        <v>95</v>
      </c>
    </row>
    <row r="45" spans="1:86" x14ac:dyDescent="0.2">
      <c r="A45" s="2" t="s">
        <v>96</v>
      </c>
    </row>
    <row r="46" spans="1:86" x14ac:dyDescent="0.2">
      <c r="A46" s="2" t="s">
        <v>97</v>
      </c>
    </row>
    <row r="48" spans="1:86" ht="17" x14ac:dyDescent="0.2">
      <c r="A48" s="11" t="s">
        <v>6</v>
      </c>
      <c r="B48" s="70" t="s">
        <v>277</v>
      </c>
      <c r="C48" s="70"/>
      <c r="D48" s="70"/>
      <c r="V48" t="s">
        <v>8</v>
      </c>
      <c r="AA48" s="3" t="s">
        <v>5</v>
      </c>
      <c r="AZ48" t="s">
        <v>33</v>
      </c>
    </row>
    <row r="49" spans="1:12" ht="17" x14ac:dyDescent="0.2">
      <c r="A49" s="11" t="s">
        <v>7</v>
      </c>
      <c r="B49" s="79" t="s">
        <v>265</v>
      </c>
      <c r="C49" s="70"/>
      <c r="D49" s="70"/>
      <c r="J49" s="36"/>
      <c r="K49" s="36"/>
      <c r="L49" s="36"/>
    </row>
    <row r="50" spans="1:12" x14ac:dyDescent="0.2">
      <c r="J50" s="36"/>
      <c r="K50" s="36"/>
      <c r="L50" s="36"/>
    </row>
    <row r="51" spans="1:12" x14ac:dyDescent="0.2">
      <c r="J51" s="36"/>
      <c r="K51" s="36"/>
      <c r="L51" s="36"/>
    </row>
  </sheetData>
  <mergeCells count="32">
    <mergeCell ref="AZ1:CD1"/>
    <mergeCell ref="R2:T2"/>
    <mergeCell ref="AA2:AP2"/>
    <mergeCell ref="N2:P2"/>
    <mergeCell ref="BT5:CC5"/>
    <mergeCell ref="AZ2:CC2"/>
    <mergeCell ref="AA5:AE5"/>
    <mergeCell ref="AF5:AJ5"/>
    <mergeCell ref="AK5:AO5"/>
    <mergeCell ref="AA4:AE4"/>
    <mergeCell ref="AF4:AJ4"/>
    <mergeCell ref="AK4:AO4"/>
    <mergeCell ref="AZ4:BI4"/>
    <mergeCell ref="BJ4:BS4"/>
    <mergeCell ref="BT4:CC4"/>
    <mergeCell ref="AR2:AU2"/>
    <mergeCell ref="F1:H1"/>
    <mergeCell ref="B2:D2"/>
    <mergeCell ref="B1:D1"/>
    <mergeCell ref="V2:X2"/>
    <mergeCell ref="J1:L1"/>
    <mergeCell ref="N1:P1"/>
    <mergeCell ref="R1:T1"/>
    <mergeCell ref="V1:AP1"/>
    <mergeCell ref="B48:D48"/>
    <mergeCell ref="B49:D49"/>
    <mergeCell ref="J2:L2"/>
    <mergeCell ref="F2:H2"/>
    <mergeCell ref="CE2:CH2"/>
    <mergeCell ref="AA40:AP42"/>
    <mergeCell ref="AZ5:BI5"/>
    <mergeCell ref="BJ5:BS5"/>
  </mergeCells>
  <conditionalFormatting sqref="N20:N38">
    <cfRule type="cellIs" dxfId="5" priority="3" operator="lessThan">
      <formula>0</formula>
    </cfRule>
  </conditionalFormatting>
  <conditionalFormatting sqref="N6:P38">
    <cfRule type="cellIs" dxfId="4" priority="1" operator="lessThan">
      <formula>0</formula>
    </cfRule>
  </conditionalFormatting>
  <conditionalFormatting sqref="R6:S6 R7:U38">
    <cfRule type="cellIs" dxfId="3" priority="2" operator="lessThan">
      <formula>0</formula>
    </cfRule>
  </conditionalFormatting>
  <hyperlinks>
    <hyperlink ref="B49" r:id="rId1" xr:uid="{F7360D87-05C3-AE46-8CDB-12779D0D5EE4}"/>
    <hyperlink ref="AA48" r:id="rId2" xr:uid="{CBB37196-ABF7-B343-BE61-FDE74FC33D1E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8ED5-4E25-504D-8008-E6874509A0B0}">
  <dimension ref="A1:Z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6" max="16" width="10.83203125" style="7"/>
  </cols>
  <sheetData>
    <row r="1" spans="1:26" s="2" customFormat="1" ht="55" customHeight="1" x14ac:dyDescent="0.2">
      <c r="B1" s="82" t="s">
        <v>93</v>
      </c>
      <c r="C1" s="82"/>
      <c r="D1" s="82"/>
      <c r="E1" s="43"/>
      <c r="F1" s="82" t="s">
        <v>112</v>
      </c>
      <c r="G1" s="82"/>
      <c r="H1" s="82"/>
      <c r="I1" s="43"/>
      <c r="J1" s="82" t="s">
        <v>261</v>
      </c>
      <c r="K1" s="82"/>
      <c r="L1" s="82"/>
      <c r="M1" s="82" t="s">
        <v>262</v>
      </c>
      <c r="N1" s="82"/>
      <c r="O1" s="82"/>
      <c r="P1" s="43"/>
    </row>
    <row r="2" spans="1:26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56" t="s">
        <v>67</v>
      </c>
      <c r="N2" s="56"/>
      <c r="O2" s="56"/>
      <c r="P2" s="12"/>
      <c r="Q2" s="56" t="s">
        <v>263</v>
      </c>
      <c r="R2" s="56"/>
      <c r="S2" s="56"/>
      <c r="U2" s="56" t="s">
        <v>173</v>
      </c>
      <c r="V2" s="56"/>
      <c r="W2" s="56"/>
    </row>
    <row r="3" spans="1:26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2" t="s">
        <v>14</v>
      </c>
      <c r="N3" s="2" t="s">
        <v>37</v>
      </c>
      <c r="O3" s="2" t="s">
        <v>17</v>
      </c>
      <c r="P3" s="6"/>
      <c r="Q3" s="2" t="s">
        <v>58</v>
      </c>
      <c r="R3" s="2" t="s">
        <v>58</v>
      </c>
      <c r="S3" s="2" t="s">
        <v>58</v>
      </c>
      <c r="U3" s="2" t="s">
        <v>14</v>
      </c>
      <c r="V3" s="2" t="s">
        <v>37</v>
      </c>
      <c r="W3" s="2" t="s">
        <v>17</v>
      </c>
    </row>
    <row r="4" spans="1:26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2" t="s">
        <v>254</v>
      </c>
      <c r="N4" s="2" t="s">
        <v>253</v>
      </c>
      <c r="O4" s="2" t="s">
        <v>255</v>
      </c>
      <c r="P4" s="6"/>
      <c r="Q4" s="2" t="s">
        <v>259</v>
      </c>
      <c r="R4" s="2" t="s">
        <v>260</v>
      </c>
      <c r="S4" s="2" t="s">
        <v>59</v>
      </c>
      <c r="U4" s="2" t="s">
        <v>254</v>
      </c>
      <c r="V4" s="2" t="s">
        <v>253</v>
      </c>
      <c r="W4" s="2" t="s">
        <v>255</v>
      </c>
      <c r="X4" s="2" t="s">
        <v>59</v>
      </c>
    </row>
    <row r="5" spans="1:26" s="2" customFormat="1" ht="17" x14ac:dyDescent="0.2">
      <c r="A5" s="11" t="s">
        <v>90</v>
      </c>
      <c r="B5" s="2" t="s">
        <v>91</v>
      </c>
      <c r="C5" s="2" t="s">
        <v>91</v>
      </c>
      <c r="D5" s="2" t="s">
        <v>91</v>
      </c>
      <c r="E5" s="6"/>
      <c r="F5" s="2" t="s">
        <v>94</v>
      </c>
      <c r="G5" s="2" t="s">
        <v>94</v>
      </c>
      <c r="H5" s="2" t="s">
        <v>94</v>
      </c>
      <c r="I5" s="6"/>
      <c r="P5" s="6"/>
      <c r="Q5" s="2" t="s">
        <v>91</v>
      </c>
      <c r="R5" s="2" t="s">
        <v>91</v>
      </c>
      <c r="S5" s="2" t="s">
        <v>91</v>
      </c>
      <c r="U5" s="2" t="s">
        <v>92</v>
      </c>
      <c r="V5" s="2" t="s">
        <v>92</v>
      </c>
      <c r="W5" s="2" t="s">
        <v>92</v>
      </c>
      <c r="X5" s="2" t="s">
        <v>92</v>
      </c>
      <c r="Z5" s="2" t="s">
        <v>94</v>
      </c>
    </row>
    <row r="6" spans="1:26" x14ac:dyDescent="0.2">
      <c r="A6" s="2">
        <v>1990</v>
      </c>
      <c r="B6">
        <f>$Z6*U6</f>
        <v>166.66183441033925</v>
      </c>
      <c r="C6">
        <f t="shared" ref="C6:D6" si="0">$Z6*V6</f>
        <v>0.36438772213247173</v>
      </c>
      <c r="D6">
        <f t="shared" si="0"/>
        <v>114.91877786752828</v>
      </c>
      <c r="F6">
        <f>$Z$40</f>
        <v>2.3747414373373115E-2</v>
      </c>
      <c r="G6">
        <f t="shared" ref="G6:H6" si="1">$Z$40</f>
        <v>2.3747414373373115E-2</v>
      </c>
      <c r="H6">
        <f t="shared" si="1"/>
        <v>2.3747414373373115E-2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Q6">
        <v>173.94499999999999</v>
      </c>
      <c r="R6">
        <v>108</v>
      </c>
      <c r="S6">
        <f>SUM(Q6:R6)</f>
        <v>281.94499999999999</v>
      </c>
      <c r="U6">
        <f>Bus.Cap!J6</f>
        <v>7318</v>
      </c>
      <c r="V6">
        <f>Bus.Cap!K6</f>
        <v>16</v>
      </c>
      <c r="W6">
        <f>Bus.Cap!L6</f>
        <v>5046</v>
      </c>
      <c r="X6">
        <f>SUM(U6:W6)</f>
        <v>12380</v>
      </c>
      <c r="Z6">
        <f>S6/X6</f>
        <v>2.2774232633279483E-2</v>
      </c>
    </row>
    <row r="7" spans="1:26" x14ac:dyDescent="0.2">
      <c r="A7" s="2">
        <v>1991</v>
      </c>
      <c r="B7">
        <f t="shared" ref="B7:B37" si="2">$Z7*U7</f>
        <v>173.04233498388746</v>
      </c>
      <c r="C7">
        <f t="shared" ref="C7:C37" si="3">$Z7*V7</f>
        <v>0.71657926589640808</v>
      </c>
      <c r="D7">
        <f t="shared" ref="D7:D37" si="4">$Z7*W7</f>
        <v>120.33908575021614</v>
      </c>
      <c r="Q7">
        <v>186.09800000000001</v>
      </c>
      <c r="R7">
        <v>108</v>
      </c>
      <c r="S7">
        <f t="shared" ref="S7:S37" si="5">SUM(Q7:R7)</f>
        <v>294.09800000000001</v>
      </c>
      <c r="U7">
        <f>Bus.Cap!J7</f>
        <v>7486</v>
      </c>
      <c r="V7">
        <f>Bus.Cap!K7</f>
        <v>31</v>
      </c>
      <c r="W7">
        <f>Bus.Cap!L7</f>
        <v>5206</v>
      </c>
      <c r="X7">
        <f t="shared" ref="X7:X37" si="6">SUM(U7:W7)</f>
        <v>12723</v>
      </c>
      <c r="Z7">
        <f t="shared" ref="Z7:Z37" si="7">S7/X7</f>
        <v>2.3115460190206712E-2</v>
      </c>
    </row>
    <row r="8" spans="1:26" x14ac:dyDescent="0.2">
      <c r="A8" s="2">
        <v>1992</v>
      </c>
      <c r="B8">
        <f t="shared" si="2"/>
        <v>172.95950926715778</v>
      </c>
      <c r="C8">
        <f t="shared" si="3"/>
        <v>0.69036525785188052</v>
      </c>
      <c r="D8">
        <f t="shared" si="4"/>
        <v>123.09212547499028</v>
      </c>
      <c r="Q8">
        <v>187.74199999999999</v>
      </c>
      <c r="R8">
        <v>109</v>
      </c>
      <c r="S8">
        <f t="shared" si="5"/>
        <v>296.74199999999996</v>
      </c>
      <c r="U8">
        <f>Bus.Cap!J8</f>
        <v>7516</v>
      </c>
      <c r="V8">
        <f>Bus.Cap!K8</f>
        <v>30</v>
      </c>
      <c r="W8">
        <f>Bus.Cap!L8</f>
        <v>5349</v>
      </c>
      <c r="X8">
        <f t="shared" si="6"/>
        <v>12895</v>
      </c>
      <c r="Z8">
        <f t="shared" si="7"/>
        <v>2.3012175261729349E-2</v>
      </c>
    </row>
    <row r="9" spans="1:26" x14ac:dyDescent="0.2">
      <c r="A9" s="2">
        <v>1993</v>
      </c>
      <c r="B9">
        <f t="shared" si="2"/>
        <v>172.80524507106833</v>
      </c>
      <c r="C9">
        <f t="shared" si="3"/>
        <v>0.61691678129298488</v>
      </c>
      <c r="D9">
        <f t="shared" si="4"/>
        <v>125.57683814763871</v>
      </c>
      <c r="Q9">
        <v>189.999</v>
      </c>
      <c r="R9">
        <v>109</v>
      </c>
      <c r="S9">
        <f t="shared" si="5"/>
        <v>298.99900000000002</v>
      </c>
      <c r="U9">
        <f>Bus.Cap!J9</f>
        <v>7563</v>
      </c>
      <c r="V9">
        <f>Bus.Cap!K9</f>
        <v>27</v>
      </c>
      <c r="W9">
        <f>Bus.Cap!L9</f>
        <v>5496</v>
      </c>
      <c r="X9">
        <f t="shared" si="6"/>
        <v>13086</v>
      </c>
      <c r="Z9">
        <f t="shared" si="7"/>
        <v>2.284876967751796E-2</v>
      </c>
    </row>
    <row r="10" spans="1:26" x14ac:dyDescent="0.2">
      <c r="A10" s="2">
        <v>1994</v>
      </c>
      <c r="B10">
        <f t="shared" si="2"/>
        <v>172.52923012614767</v>
      </c>
      <c r="C10">
        <f t="shared" si="3"/>
        <v>0.62607807718145869</v>
      </c>
      <c r="D10">
        <f t="shared" si="4"/>
        <v>126.40069179667093</v>
      </c>
      <c r="Q10">
        <v>189.55600000000001</v>
      </c>
      <c r="R10">
        <v>110</v>
      </c>
      <c r="S10">
        <f t="shared" si="5"/>
        <v>299.55600000000004</v>
      </c>
      <c r="U10">
        <f>Bus.Cap!J10</f>
        <v>7716</v>
      </c>
      <c r="V10">
        <f>Bus.Cap!K10</f>
        <v>28</v>
      </c>
      <c r="W10">
        <f>Bus.Cap!L10</f>
        <v>5653</v>
      </c>
      <c r="X10">
        <f t="shared" si="6"/>
        <v>13397</v>
      </c>
      <c r="Z10">
        <f t="shared" si="7"/>
        <v>2.2359931327909238E-2</v>
      </c>
    </row>
    <row r="11" spans="1:26" x14ac:dyDescent="0.2">
      <c r="A11" s="2">
        <v>1995</v>
      </c>
      <c r="B11">
        <f t="shared" si="2"/>
        <v>172.25859701709714</v>
      </c>
      <c r="C11">
        <f t="shared" si="3"/>
        <v>0.65948926882502734</v>
      </c>
      <c r="D11">
        <f t="shared" si="4"/>
        <v>129.23791371407785</v>
      </c>
      <c r="Q11">
        <v>192.15600000000001</v>
      </c>
      <c r="R11">
        <v>110</v>
      </c>
      <c r="S11">
        <f t="shared" si="5"/>
        <v>302.15600000000001</v>
      </c>
      <c r="U11">
        <f>Bus.Cap!J11</f>
        <v>7836</v>
      </c>
      <c r="V11">
        <f>Bus.Cap!K11</f>
        <v>30</v>
      </c>
      <c r="W11">
        <f>Bus.Cap!L11</f>
        <v>5879</v>
      </c>
      <c r="X11">
        <f t="shared" si="6"/>
        <v>13745</v>
      </c>
      <c r="Z11">
        <f t="shared" si="7"/>
        <v>2.1982975627500911E-2</v>
      </c>
    </row>
    <row r="12" spans="1:26" x14ac:dyDescent="0.2">
      <c r="A12" s="2">
        <v>1996</v>
      </c>
      <c r="B12">
        <f t="shared" si="2"/>
        <v>169.95028571428571</v>
      </c>
      <c r="C12">
        <f t="shared" si="3"/>
        <v>0.620100438564958</v>
      </c>
      <c r="D12">
        <f t="shared" si="4"/>
        <v>126.84261384714934</v>
      </c>
      <c r="Q12">
        <v>188.41300000000001</v>
      </c>
      <c r="R12">
        <v>109</v>
      </c>
      <c r="S12">
        <f t="shared" si="5"/>
        <v>297.41300000000001</v>
      </c>
      <c r="U12">
        <f>Bus.Cap!J12</f>
        <v>7948</v>
      </c>
      <c r="V12">
        <f>Bus.Cap!K12</f>
        <v>29</v>
      </c>
      <c r="W12">
        <f>Bus.Cap!L12</f>
        <v>5932</v>
      </c>
      <c r="X12">
        <f t="shared" si="6"/>
        <v>13909</v>
      </c>
      <c r="Z12">
        <f t="shared" si="7"/>
        <v>2.138277374361924E-2</v>
      </c>
    </row>
    <row r="13" spans="1:26" x14ac:dyDescent="0.2">
      <c r="A13" s="2">
        <v>1997</v>
      </c>
      <c r="B13">
        <f t="shared" si="2"/>
        <v>172.71867907239022</v>
      </c>
      <c r="C13">
        <f t="shared" si="3"/>
        <v>0.66791513357298937</v>
      </c>
      <c r="D13">
        <f t="shared" si="4"/>
        <v>122.72940579403679</v>
      </c>
      <c r="Q13">
        <v>188.11600000000001</v>
      </c>
      <c r="R13">
        <v>108</v>
      </c>
      <c r="S13">
        <f t="shared" si="5"/>
        <v>296.11599999999999</v>
      </c>
      <c r="U13">
        <f>Bus.Cap!J13</f>
        <v>8275</v>
      </c>
      <c r="V13">
        <f>Bus.Cap!K13</f>
        <v>32</v>
      </c>
      <c r="W13">
        <f>Bus.Cap!L13</f>
        <v>5880</v>
      </c>
      <c r="X13">
        <f t="shared" si="6"/>
        <v>14187</v>
      </c>
      <c r="Z13">
        <f t="shared" si="7"/>
        <v>2.0872347924155918E-2</v>
      </c>
    </row>
    <row r="14" spans="1:26" x14ac:dyDescent="0.2">
      <c r="A14" s="2">
        <v>1998</v>
      </c>
      <c r="B14">
        <f t="shared" si="2"/>
        <v>173.57258611398964</v>
      </c>
      <c r="C14">
        <f t="shared" si="3"/>
        <v>0.64826362694300521</v>
      </c>
      <c r="D14">
        <f t="shared" si="4"/>
        <v>119.01715025906736</v>
      </c>
      <c r="Q14">
        <v>192.238</v>
      </c>
      <c r="R14">
        <v>101</v>
      </c>
      <c r="S14">
        <f t="shared" si="5"/>
        <v>293.238</v>
      </c>
      <c r="U14">
        <f>Bus.Cap!J14</f>
        <v>8568</v>
      </c>
      <c r="V14">
        <f>Bus.Cap!K14</f>
        <v>32</v>
      </c>
      <c r="W14">
        <f>Bus.Cap!L14</f>
        <v>5875</v>
      </c>
      <c r="X14">
        <f t="shared" si="6"/>
        <v>14475</v>
      </c>
      <c r="Z14">
        <f t="shared" si="7"/>
        <v>2.0258238341968913E-2</v>
      </c>
    </row>
    <row r="15" spans="1:26" x14ac:dyDescent="0.2">
      <c r="A15" s="2">
        <v>1999</v>
      </c>
      <c r="B15">
        <f t="shared" si="2"/>
        <v>176.09263887770172</v>
      </c>
      <c r="C15">
        <f t="shared" si="3"/>
        <v>0.58966169955698755</v>
      </c>
      <c r="D15">
        <f t="shared" si="4"/>
        <v>116.14369942274132</v>
      </c>
      <c r="Q15">
        <v>194.82599999999999</v>
      </c>
      <c r="R15">
        <v>98</v>
      </c>
      <c r="S15">
        <f t="shared" si="5"/>
        <v>292.82600000000002</v>
      </c>
      <c r="U15">
        <f>Bus.Cap!J15</f>
        <v>8959</v>
      </c>
      <c r="V15">
        <f>Bus.Cap!K15</f>
        <v>30</v>
      </c>
      <c r="W15">
        <f>Bus.Cap!L15</f>
        <v>5909</v>
      </c>
      <c r="X15">
        <f t="shared" si="6"/>
        <v>14898</v>
      </c>
      <c r="Z15">
        <f t="shared" si="7"/>
        <v>1.9655389985232918E-2</v>
      </c>
    </row>
    <row r="16" spans="1:26" x14ac:dyDescent="0.2">
      <c r="A16" s="2">
        <v>2000</v>
      </c>
      <c r="B16">
        <f t="shared" si="2"/>
        <v>184.28213145384919</v>
      </c>
      <c r="C16">
        <f t="shared" si="3"/>
        <v>0.61144665258153963</v>
      </c>
      <c r="D16">
        <f t="shared" si="4"/>
        <v>113.84742189356925</v>
      </c>
      <c r="Q16">
        <v>199.74100000000001</v>
      </c>
      <c r="R16">
        <v>99</v>
      </c>
      <c r="S16">
        <f t="shared" si="5"/>
        <v>298.74099999999999</v>
      </c>
      <c r="U16">
        <f>Bus.Cap!J16</f>
        <v>9343</v>
      </c>
      <c r="V16">
        <f>Bus.Cap!K16</f>
        <v>31</v>
      </c>
      <c r="W16">
        <f>Bus.Cap!L16</f>
        <v>5772</v>
      </c>
      <c r="X16">
        <f t="shared" si="6"/>
        <v>15146</v>
      </c>
      <c r="Z16">
        <f t="shared" si="7"/>
        <v>1.972408556714644E-2</v>
      </c>
    </row>
    <row r="17" spans="1:26" x14ac:dyDescent="0.2">
      <c r="A17" s="2">
        <v>2001</v>
      </c>
      <c r="B17">
        <f t="shared" si="2"/>
        <v>193.98788708954748</v>
      </c>
      <c r="C17">
        <f t="shared" si="3"/>
        <v>0.61522422070024974</v>
      </c>
      <c r="D17">
        <f t="shared" si="4"/>
        <v>105.76088868975231</v>
      </c>
      <c r="Q17">
        <v>205.364</v>
      </c>
      <c r="R17">
        <v>95</v>
      </c>
      <c r="S17">
        <f t="shared" si="5"/>
        <v>300.36400000000003</v>
      </c>
      <c r="U17">
        <f>Bus.Cap!J17</f>
        <v>10090</v>
      </c>
      <c r="V17">
        <f>Bus.Cap!K17</f>
        <v>32</v>
      </c>
      <c r="W17">
        <f>Bus.Cap!L17</f>
        <v>5501</v>
      </c>
      <c r="X17">
        <f t="shared" si="6"/>
        <v>15623</v>
      </c>
      <c r="Z17">
        <f t="shared" si="7"/>
        <v>1.9225756896882804E-2</v>
      </c>
    </row>
    <row r="18" spans="1:26" x14ac:dyDescent="0.2">
      <c r="A18" s="2">
        <v>2002</v>
      </c>
      <c r="B18">
        <f t="shared" si="2"/>
        <v>202.98751847437424</v>
      </c>
      <c r="C18">
        <f t="shared" si="3"/>
        <v>0.66772210024465206</v>
      </c>
      <c r="D18">
        <f t="shared" si="4"/>
        <v>100.46355942538108</v>
      </c>
      <c r="Q18">
        <v>210.94499999999999</v>
      </c>
      <c r="R18">
        <v>93.1738</v>
      </c>
      <c r="S18">
        <f t="shared" si="5"/>
        <v>304.11879999999996</v>
      </c>
      <c r="U18">
        <f>Bus.Cap!J18</f>
        <v>10640</v>
      </c>
      <c r="V18">
        <f>Bus.Cap!K18</f>
        <v>35</v>
      </c>
      <c r="W18">
        <f>Bus.Cap!L18</f>
        <v>5266</v>
      </c>
      <c r="X18">
        <f t="shared" si="6"/>
        <v>15941</v>
      </c>
      <c r="Z18">
        <f t="shared" si="7"/>
        <v>1.9077774292704346E-2</v>
      </c>
    </row>
    <row r="19" spans="1:26" x14ac:dyDescent="0.2">
      <c r="A19" s="2">
        <v>2003</v>
      </c>
      <c r="B19">
        <f t="shared" si="2"/>
        <v>216.87317743410898</v>
      </c>
      <c r="C19">
        <f t="shared" si="3"/>
        <v>0.54524997469292014</v>
      </c>
      <c r="D19">
        <f t="shared" si="4"/>
        <v>98.067102591198065</v>
      </c>
      <c r="Q19">
        <v>220.005</v>
      </c>
      <c r="R19">
        <v>95.480530000000002</v>
      </c>
      <c r="S19">
        <f t="shared" si="5"/>
        <v>315.48552999999998</v>
      </c>
      <c r="U19">
        <f>Bus.Cap!J19</f>
        <v>11137</v>
      </c>
      <c r="V19">
        <f>Bus.Cap!K19</f>
        <v>28</v>
      </c>
      <c r="W19">
        <f>Bus.Cap!L19</f>
        <v>5036</v>
      </c>
      <c r="X19">
        <f t="shared" si="6"/>
        <v>16201</v>
      </c>
      <c r="Z19">
        <f t="shared" si="7"/>
        <v>1.9473213381890005E-2</v>
      </c>
    </row>
    <row r="20" spans="1:26" x14ac:dyDescent="0.2">
      <c r="A20" s="2">
        <v>2004</v>
      </c>
      <c r="B20">
        <f t="shared" si="2"/>
        <v>228.53798987657339</v>
      </c>
      <c r="C20">
        <f t="shared" si="3"/>
        <v>0.54376816082121471</v>
      </c>
      <c r="D20">
        <f t="shared" si="4"/>
        <v>88.7507319626054</v>
      </c>
      <c r="Q20">
        <v>220</v>
      </c>
      <c r="R20">
        <v>97.832490000000007</v>
      </c>
      <c r="S20">
        <f t="shared" si="5"/>
        <v>317.83249000000001</v>
      </c>
      <c r="U20">
        <f>Bus.Cap!J20</f>
        <v>11768</v>
      </c>
      <c r="V20">
        <f>Bus.Cap!K20</f>
        <v>28</v>
      </c>
      <c r="W20">
        <f>Bus.Cap!L20</f>
        <v>4570</v>
      </c>
      <c r="X20">
        <f t="shared" si="6"/>
        <v>16366</v>
      </c>
      <c r="Z20">
        <f t="shared" si="7"/>
        <v>1.9420291457900526E-2</v>
      </c>
    </row>
    <row r="21" spans="1:26" x14ac:dyDescent="0.2">
      <c r="A21" s="2">
        <v>2005</v>
      </c>
      <c r="B21">
        <f t="shared" si="2"/>
        <v>251.51041323814133</v>
      </c>
      <c r="C21">
        <f t="shared" si="3"/>
        <v>0.64827492739593418</v>
      </c>
      <c r="D21">
        <f t="shared" si="4"/>
        <v>82.675311834462732</v>
      </c>
      <c r="Q21">
        <v>228.834</v>
      </c>
      <c r="R21">
        <v>106</v>
      </c>
      <c r="S21">
        <f t="shared" si="5"/>
        <v>334.834</v>
      </c>
      <c r="U21">
        <f>Bus.Cap!J21</f>
        <v>12415</v>
      </c>
      <c r="V21">
        <f>Bus.Cap!K21</f>
        <v>32</v>
      </c>
      <c r="W21">
        <f>Bus.Cap!L21</f>
        <v>4081</v>
      </c>
      <c r="X21">
        <f t="shared" si="6"/>
        <v>16528</v>
      </c>
      <c r="Z21">
        <f t="shared" si="7"/>
        <v>2.0258591481122943E-2</v>
      </c>
    </row>
    <row r="22" spans="1:26" x14ac:dyDescent="0.2">
      <c r="A22" s="2">
        <v>2006</v>
      </c>
      <c r="B22">
        <f t="shared" si="2"/>
        <v>272.30618127911902</v>
      </c>
      <c r="C22">
        <f t="shared" si="3"/>
        <v>0.65810334603981369</v>
      </c>
      <c r="D22">
        <f t="shared" si="4"/>
        <v>77.889715374841174</v>
      </c>
      <c r="Q22">
        <v>232.85400000000001</v>
      </c>
      <c r="R22">
        <v>118</v>
      </c>
      <c r="S22">
        <f t="shared" si="5"/>
        <v>350.85400000000004</v>
      </c>
      <c r="U22">
        <f>Bus.Cap!J22</f>
        <v>12827</v>
      </c>
      <c r="V22">
        <f>Bus.Cap!K22</f>
        <v>31</v>
      </c>
      <c r="W22">
        <f>Bus.Cap!L22</f>
        <v>3669</v>
      </c>
      <c r="X22">
        <f t="shared" si="6"/>
        <v>16527</v>
      </c>
      <c r="Z22">
        <f t="shared" si="7"/>
        <v>2.1229140194832699E-2</v>
      </c>
    </row>
    <row r="23" spans="1:26" x14ac:dyDescent="0.2">
      <c r="A23" s="2">
        <v>2007</v>
      </c>
      <c r="B23">
        <f t="shared" si="2"/>
        <v>281.50536067259424</v>
      </c>
      <c r="C23">
        <f t="shared" si="3"/>
        <v>0.63440210488114679</v>
      </c>
      <c r="D23">
        <f t="shared" si="4"/>
        <v>67.479237222524645</v>
      </c>
      <c r="Q23">
        <v>229.619</v>
      </c>
      <c r="R23">
        <v>120</v>
      </c>
      <c r="S23">
        <f t="shared" si="5"/>
        <v>349.61900000000003</v>
      </c>
      <c r="U23">
        <f>Bus.Cap!J23</f>
        <v>13312</v>
      </c>
      <c r="V23">
        <f>Bus.Cap!K23</f>
        <v>30</v>
      </c>
      <c r="W23">
        <f>Bus.Cap!L23</f>
        <v>3191</v>
      </c>
      <c r="X23">
        <f t="shared" si="6"/>
        <v>16533</v>
      </c>
      <c r="Z23">
        <f t="shared" si="7"/>
        <v>2.114673682937156E-2</v>
      </c>
    </row>
    <row r="24" spans="1:26" x14ac:dyDescent="0.2">
      <c r="A24" s="2">
        <v>2008</v>
      </c>
      <c r="B24">
        <f t="shared" si="2"/>
        <v>283.31909262759922</v>
      </c>
      <c r="C24">
        <f t="shared" si="3"/>
        <v>0.73270321361058599</v>
      </c>
      <c r="D24">
        <f t="shared" si="4"/>
        <v>57.948204158790169</v>
      </c>
      <c r="Q24">
        <v>228</v>
      </c>
      <c r="R24">
        <v>114</v>
      </c>
      <c r="S24">
        <f t="shared" si="5"/>
        <v>342</v>
      </c>
      <c r="U24">
        <f>Bus.Cap!J24</f>
        <v>13147</v>
      </c>
      <c r="V24">
        <f>Bus.Cap!K24</f>
        <v>34</v>
      </c>
      <c r="W24">
        <f>Bus.Cap!L24</f>
        <v>2689</v>
      </c>
      <c r="X24">
        <f t="shared" si="6"/>
        <v>15870</v>
      </c>
      <c r="Z24">
        <f t="shared" si="7"/>
        <v>2.1550094517958411E-2</v>
      </c>
    </row>
    <row r="25" spans="1:26" x14ac:dyDescent="0.2">
      <c r="A25" s="2">
        <v>2009</v>
      </c>
      <c r="B25">
        <f t="shared" si="2"/>
        <v>302.08677737545264</v>
      </c>
      <c r="C25">
        <f t="shared" si="3"/>
        <v>0.53040329629167193</v>
      </c>
      <c r="D25">
        <f t="shared" si="4"/>
        <v>51.382819328255714</v>
      </c>
      <c r="Q25">
        <v>238</v>
      </c>
      <c r="R25">
        <v>116</v>
      </c>
      <c r="S25">
        <f t="shared" si="5"/>
        <v>354</v>
      </c>
      <c r="U25">
        <f>Bus.Cap!J25</f>
        <v>13669</v>
      </c>
      <c r="V25">
        <f>Bus.Cap!K25</f>
        <v>24</v>
      </c>
      <c r="W25">
        <f>Bus.Cap!L25</f>
        <v>2325</v>
      </c>
      <c r="X25">
        <f t="shared" si="6"/>
        <v>16018</v>
      </c>
      <c r="Z25">
        <f t="shared" si="7"/>
        <v>2.2100137345486329E-2</v>
      </c>
    </row>
    <row r="26" spans="1:26" x14ac:dyDescent="0.2">
      <c r="A26" s="2">
        <v>2010</v>
      </c>
      <c r="B26">
        <f t="shared" si="2"/>
        <v>317.69257934530094</v>
      </c>
      <c r="C26">
        <f t="shared" si="3"/>
        <v>0.56264625131995782</v>
      </c>
      <c r="D26">
        <f t="shared" si="4"/>
        <v>44.066454403379097</v>
      </c>
      <c r="Q26">
        <v>244</v>
      </c>
      <c r="R26">
        <v>118.32168</v>
      </c>
      <c r="S26">
        <f t="shared" si="5"/>
        <v>362.32168000000001</v>
      </c>
      <c r="U26">
        <f>Bus.Cap!J26</f>
        <v>14116</v>
      </c>
      <c r="V26">
        <f>Bus.Cap!K26</f>
        <v>25</v>
      </c>
      <c r="W26">
        <f>Bus.Cap!L26</f>
        <v>1958</v>
      </c>
      <c r="X26">
        <f t="shared" si="6"/>
        <v>16099</v>
      </c>
      <c r="Z26">
        <f t="shared" si="7"/>
        <v>2.2505850052798312E-2</v>
      </c>
    </row>
    <row r="27" spans="1:26" x14ac:dyDescent="0.2">
      <c r="A27" s="2">
        <v>2011</v>
      </c>
      <c r="B27">
        <f t="shared" si="2"/>
        <v>332.0779761894737</v>
      </c>
      <c r="C27">
        <f t="shared" si="3"/>
        <v>0.94556545758513932</v>
      </c>
      <c r="D27">
        <f t="shared" si="4"/>
        <v>39.436998352941181</v>
      </c>
      <c r="Q27">
        <v>250.43</v>
      </c>
      <c r="R27">
        <v>122.03054</v>
      </c>
      <c r="S27">
        <f t="shared" si="5"/>
        <v>372.46054000000004</v>
      </c>
      <c r="U27">
        <f>Bus.Cap!J27</f>
        <v>14399</v>
      </c>
      <c r="V27">
        <f>Bus.Cap!K27</f>
        <v>41</v>
      </c>
      <c r="W27">
        <f>Bus.Cap!L27</f>
        <v>1710</v>
      </c>
      <c r="X27">
        <f t="shared" si="6"/>
        <v>16150</v>
      </c>
      <c r="Z27">
        <f t="shared" si="7"/>
        <v>2.3062572136222911E-2</v>
      </c>
    </row>
    <row r="28" spans="1:26" x14ac:dyDescent="0.2">
      <c r="A28" s="2">
        <v>2012</v>
      </c>
      <c r="B28">
        <f t="shared" si="2"/>
        <v>342.58073030878865</v>
      </c>
      <c r="C28">
        <f t="shared" si="3"/>
        <v>0.99319325415676962</v>
      </c>
      <c r="D28">
        <f t="shared" si="4"/>
        <v>34.738116437054636</v>
      </c>
      <c r="Q28">
        <v>254.02</v>
      </c>
      <c r="R28">
        <v>124.29204</v>
      </c>
      <c r="S28">
        <f t="shared" si="5"/>
        <v>378.31204000000002</v>
      </c>
      <c r="U28">
        <f>Bus.Cap!J28</f>
        <v>14487</v>
      </c>
      <c r="V28">
        <f>Bus.Cap!K28</f>
        <v>42</v>
      </c>
      <c r="W28">
        <f>Bus.Cap!L28</f>
        <v>1469</v>
      </c>
      <c r="X28">
        <f t="shared" si="6"/>
        <v>15998</v>
      </c>
      <c r="Z28">
        <f t="shared" si="7"/>
        <v>2.3647458432304039E-2</v>
      </c>
    </row>
    <row r="29" spans="1:26" x14ac:dyDescent="0.2">
      <c r="A29" s="2">
        <v>2013</v>
      </c>
      <c r="B29">
        <f t="shared" si="2"/>
        <v>355.85920320323817</v>
      </c>
      <c r="C29">
        <f t="shared" si="3"/>
        <v>1.1465357015927342</v>
      </c>
      <c r="D29">
        <f t="shared" si="4"/>
        <v>30.115671095169148</v>
      </c>
      <c r="Q29">
        <v>261.97000000000003</v>
      </c>
      <c r="R29">
        <v>125.15141</v>
      </c>
      <c r="S29">
        <f t="shared" si="5"/>
        <v>387.12141000000003</v>
      </c>
      <c r="U29">
        <f>Bus.Cap!J29</f>
        <v>13967</v>
      </c>
      <c r="V29">
        <f>Bus.Cap!K29</f>
        <v>45</v>
      </c>
      <c r="W29">
        <f>Bus.Cap!L29</f>
        <v>1182</v>
      </c>
      <c r="X29">
        <f t="shared" si="6"/>
        <v>15194</v>
      </c>
      <c r="Z29">
        <f t="shared" si="7"/>
        <v>2.5478571146505202E-2</v>
      </c>
    </row>
    <row r="30" spans="1:26" x14ac:dyDescent="0.2">
      <c r="A30" s="2">
        <v>2014</v>
      </c>
      <c r="B30">
        <f t="shared" si="2"/>
        <v>367.63157434623713</v>
      </c>
      <c r="C30">
        <f t="shared" si="3"/>
        <v>1.2811322468868434</v>
      </c>
      <c r="D30">
        <f t="shared" si="4"/>
        <v>25.462503406876014</v>
      </c>
      <c r="Q30">
        <v>266.51</v>
      </c>
      <c r="R30">
        <v>127.86521</v>
      </c>
      <c r="S30">
        <f t="shared" si="5"/>
        <v>394.37520999999998</v>
      </c>
      <c r="U30">
        <f>Bus.Cap!J30</f>
        <v>13774</v>
      </c>
      <c r="V30">
        <f>Bus.Cap!K30</f>
        <v>48</v>
      </c>
      <c r="W30">
        <f>Bus.Cap!L30</f>
        <v>954</v>
      </c>
      <c r="X30">
        <f t="shared" si="6"/>
        <v>14776</v>
      </c>
      <c r="Z30">
        <f t="shared" si="7"/>
        <v>2.6690255143475904E-2</v>
      </c>
    </row>
    <row r="31" spans="1:26" x14ac:dyDescent="0.2">
      <c r="A31" s="2">
        <v>2015</v>
      </c>
      <c r="B31">
        <f t="shared" si="2"/>
        <v>379.63216228164964</v>
      </c>
      <c r="C31">
        <f t="shared" si="3"/>
        <v>1.4071691457492645</v>
      </c>
      <c r="D31">
        <f t="shared" si="4"/>
        <v>22.376748572601048</v>
      </c>
      <c r="Q31">
        <v>272.43</v>
      </c>
      <c r="R31">
        <v>130.98607999999999</v>
      </c>
      <c r="S31">
        <f t="shared" si="5"/>
        <v>403.41607999999997</v>
      </c>
      <c r="U31">
        <f>Bus.Cap!J31</f>
        <v>13759</v>
      </c>
      <c r="V31">
        <f>Bus.Cap!K31</f>
        <v>51</v>
      </c>
      <c r="W31">
        <f>Bus.Cap!L31</f>
        <v>811</v>
      </c>
      <c r="X31">
        <f t="shared" si="6"/>
        <v>14621</v>
      </c>
      <c r="Z31">
        <f t="shared" si="7"/>
        <v>2.759155187743656E-2</v>
      </c>
    </row>
    <row r="32" spans="1:26" x14ac:dyDescent="0.2">
      <c r="A32" s="2">
        <v>2016</v>
      </c>
      <c r="B32">
        <f t="shared" si="2"/>
        <v>392.69564948810176</v>
      </c>
      <c r="C32">
        <f t="shared" si="3"/>
        <v>1.490523633093525</v>
      </c>
      <c r="D32">
        <f t="shared" si="4"/>
        <v>20.179396878804646</v>
      </c>
      <c r="Q32">
        <v>280.52999999999997</v>
      </c>
      <c r="R32">
        <v>133.83556999999999</v>
      </c>
      <c r="S32">
        <f t="shared" si="5"/>
        <v>414.36556999999993</v>
      </c>
      <c r="U32">
        <f>Bus.Cap!J32</f>
        <v>13700</v>
      </c>
      <c r="V32">
        <f>Bus.Cap!K32</f>
        <v>52</v>
      </c>
      <c r="W32">
        <f>Bus.Cap!L32</f>
        <v>704</v>
      </c>
      <c r="X32">
        <f t="shared" si="6"/>
        <v>14456</v>
      </c>
      <c r="Z32">
        <f t="shared" si="7"/>
        <v>2.8663916021029325E-2</v>
      </c>
    </row>
    <row r="33" spans="1:26" x14ac:dyDescent="0.2">
      <c r="A33" s="2">
        <v>2017</v>
      </c>
      <c r="B33">
        <f t="shared" si="2"/>
        <v>397.3609519868246</v>
      </c>
      <c r="C33">
        <f t="shared" si="3"/>
        <v>1.5785692199873853</v>
      </c>
      <c r="D33">
        <f t="shared" si="4"/>
        <v>18.182778793188032</v>
      </c>
      <c r="Q33">
        <v>280.98</v>
      </c>
      <c r="R33">
        <v>136.14230000000001</v>
      </c>
      <c r="S33">
        <f t="shared" si="5"/>
        <v>417.1223</v>
      </c>
      <c r="U33">
        <f>Bus.Cap!J33</f>
        <v>13593</v>
      </c>
      <c r="V33">
        <f>Bus.Cap!K33</f>
        <v>54</v>
      </c>
      <c r="W33">
        <f>Bus.Cap!L33</f>
        <v>622</v>
      </c>
      <c r="X33">
        <f t="shared" si="6"/>
        <v>14269</v>
      </c>
      <c r="Z33">
        <f t="shared" si="7"/>
        <v>2.9232763333099727E-2</v>
      </c>
    </row>
    <row r="34" spans="1:26" x14ac:dyDescent="0.2">
      <c r="A34" s="2">
        <v>2018</v>
      </c>
      <c r="B34">
        <f t="shared" si="2"/>
        <v>411.85324523518545</v>
      </c>
      <c r="C34">
        <f t="shared" si="3"/>
        <v>2.2011159187153617</v>
      </c>
      <c r="D34">
        <f t="shared" si="4"/>
        <v>16.20265884609919</v>
      </c>
      <c r="Q34">
        <v>291.22000000000003</v>
      </c>
      <c r="R34">
        <v>139.03702000000001</v>
      </c>
      <c r="S34">
        <f t="shared" si="5"/>
        <v>430.25702000000001</v>
      </c>
      <c r="U34">
        <f>Bus.Cap!J34</f>
        <v>13472</v>
      </c>
      <c r="V34">
        <f>Bus.Cap!K34</f>
        <v>72</v>
      </c>
      <c r="W34">
        <f>Bus.Cap!L34</f>
        <v>530</v>
      </c>
      <c r="X34">
        <f t="shared" si="6"/>
        <v>14074</v>
      </c>
      <c r="Z34">
        <f t="shared" si="7"/>
        <v>3.0571054426602247E-2</v>
      </c>
    </row>
    <row r="35" spans="1:26" x14ac:dyDescent="0.2">
      <c r="A35" s="2">
        <v>2019</v>
      </c>
      <c r="B35">
        <f t="shared" si="2"/>
        <v>425.25397023041478</v>
      </c>
      <c r="C35">
        <f t="shared" si="3"/>
        <v>2.6435050576036869</v>
      </c>
      <c r="D35">
        <f t="shared" si="4"/>
        <v>14.427804711981569</v>
      </c>
      <c r="Q35">
        <v>300.48399999999998</v>
      </c>
      <c r="R35">
        <v>141.84128000000001</v>
      </c>
      <c r="S35">
        <f t="shared" si="5"/>
        <v>442.32528000000002</v>
      </c>
      <c r="U35">
        <f>Bus.Cap!J35</f>
        <v>13352</v>
      </c>
      <c r="V35">
        <f>Bus.Cap!K35</f>
        <v>83</v>
      </c>
      <c r="W35">
        <f>Bus.Cap!L35</f>
        <v>453</v>
      </c>
      <c r="X35">
        <f t="shared" si="6"/>
        <v>13888</v>
      </c>
      <c r="Z35">
        <f t="shared" si="7"/>
        <v>3.1849458525345625E-2</v>
      </c>
    </row>
    <row r="36" spans="1:26" x14ac:dyDescent="0.2">
      <c r="A36" s="2">
        <v>2020</v>
      </c>
      <c r="B36">
        <f t="shared" si="2"/>
        <v>408.45057246135553</v>
      </c>
      <c r="C36">
        <f t="shared" si="3"/>
        <v>3.1636745065398335</v>
      </c>
      <c r="D36">
        <f t="shared" si="4"/>
        <v>12.957603032104638</v>
      </c>
      <c r="Q36">
        <v>293.63099999999997</v>
      </c>
      <c r="R36">
        <v>130.94085000000001</v>
      </c>
      <c r="S36">
        <f t="shared" si="5"/>
        <v>424.57184999999998</v>
      </c>
      <c r="U36">
        <f>Bus.Cap!J36</f>
        <v>12136</v>
      </c>
      <c r="V36">
        <f>Bus.Cap!K36</f>
        <v>94</v>
      </c>
      <c r="W36">
        <f>Bus.Cap!L36</f>
        <v>385</v>
      </c>
      <c r="X36">
        <f t="shared" si="6"/>
        <v>12615</v>
      </c>
      <c r="Z36">
        <f t="shared" si="7"/>
        <v>3.3656111771700359E-2</v>
      </c>
    </row>
    <row r="37" spans="1:26" x14ac:dyDescent="0.2">
      <c r="A37" s="2">
        <v>2021</v>
      </c>
      <c r="B37">
        <f t="shared" si="2"/>
        <v>432.27839056736468</v>
      </c>
      <c r="C37">
        <f t="shared" si="3"/>
        <v>4.8989420956143821</v>
      </c>
      <c r="D37">
        <f t="shared" si="4"/>
        <v>12.06985733702094</v>
      </c>
      <c r="Q37">
        <v>311.16000000000003</v>
      </c>
      <c r="R37">
        <v>138.08718999999999</v>
      </c>
      <c r="S37">
        <f t="shared" si="5"/>
        <v>449.24719000000005</v>
      </c>
      <c r="U37">
        <f>Bus.Cap!J37</f>
        <v>12177</v>
      </c>
      <c r="V37">
        <f>Bus.Cap!K37</f>
        <v>138</v>
      </c>
      <c r="W37">
        <f>Bus.Cap!L37</f>
        <v>340</v>
      </c>
      <c r="X37">
        <f t="shared" si="6"/>
        <v>12655</v>
      </c>
      <c r="Z37">
        <f t="shared" si="7"/>
        <v>3.5499580403002766E-2</v>
      </c>
    </row>
    <row r="38" spans="1:26" x14ac:dyDescent="0.2">
      <c r="A38" s="2">
        <v>2022</v>
      </c>
    </row>
    <row r="39" spans="1:26" x14ac:dyDescent="0.2">
      <c r="A39"/>
    </row>
    <row r="40" spans="1:2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36"/>
      <c r="N40" s="36"/>
      <c r="O40" s="36"/>
      <c r="P40" s="44"/>
      <c r="Z40">
        <f>AVERAGE(Z6:Z37)</f>
        <v>2.3747414373373115E-2</v>
      </c>
    </row>
    <row r="41" spans="1:26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36"/>
      <c r="N41" s="36"/>
      <c r="O41" s="36"/>
      <c r="P41" s="44"/>
    </row>
    <row r="42" spans="1:2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36"/>
      <c r="N42" s="36"/>
      <c r="O42" s="36"/>
      <c r="P42" s="44"/>
      <c r="Z42">
        <f>_xlfn.VAR.S(Z6:Z37)</f>
        <v>1.9676652530378838E-5</v>
      </c>
    </row>
    <row r="43" spans="1:26" x14ac:dyDescent="0.2">
      <c r="A43" s="2" t="s">
        <v>86</v>
      </c>
      <c r="Z43">
        <f>STDEV(Z6:Z37)</f>
        <v>4.4358372975548642E-3</v>
      </c>
    </row>
    <row r="44" spans="1:26" x14ac:dyDescent="0.2">
      <c r="A44" s="2" t="s">
        <v>95</v>
      </c>
      <c r="Z44">
        <f>Z43/Z40</f>
        <v>0.18679243254914374</v>
      </c>
    </row>
    <row r="45" spans="1:26" x14ac:dyDescent="0.2">
      <c r="A45" s="2" t="s">
        <v>96</v>
      </c>
      <c r="Z45">
        <f>AVEDEV(Z6:Z38)</f>
        <v>3.4691583304899795E-3</v>
      </c>
    </row>
    <row r="46" spans="1:26" x14ac:dyDescent="0.2">
      <c r="A46" s="2" t="s">
        <v>97</v>
      </c>
      <c r="Z46">
        <f>Z45/Z40</f>
        <v>0.1460857285742985</v>
      </c>
    </row>
    <row r="48" spans="1:26" ht="17" x14ac:dyDescent="0.2">
      <c r="A48" s="11" t="s">
        <v>6</v>
      </c>
      <c r="B48" s="70"/>
      <c r="C48" s="70"/>
      <c r="D48" s="70"/>
      <c r="F48" s="70"/>
      <c r="G48" s="70"/>
      <c r="H48" s="70"/>
      <c r="J48" s="70"/>
      <c r="K48" s="70"/>
      <c r="L48" s="70"/>
      <c r="M48" s="70"/>
      <c r="N48" s="70"/>
      <c r="O48" s="70"/>
    </row>
    <row r="49" spans="1:15" ht="17" x14ac:dyDescent="0.2">
      <c r="A49" s="11" t="s">
        <v>7</v>
      </c>
      <c r="B49" s="79"/>
      <c r="C49" s="79"/>
      <c r="D49" s="79"/>
      <c r="F49" s="79"/>
      <c r="G49" s="79"/>
      <c r="H49" s="79"/>
      <c r="J49" s="79"/>
      <c r="K49" s="79"/>
      <c r="L49" s="79"/>
      <c r="M49" s="79"/>
      <c r="N49" s="79"/>
      <c r="O49" s="79"/>
    </row>
  </sheetData>
  <mergeCells count="18">
    <mergeCell ref="B1:D1"/>
    <mergeCell ref="F1:H1"/>
    <mergeCell ref="J1:L1"/>
    <mergeCell ref="J48:L48"/>
    <mergeCell ref="J49:L49"/>
    <mergeCell ref="M1:O1"/>
    <mergeCell ref="M2:O2"/>
    <mergeCell ref="J2:L2"/>
    <mergeCell ref="M48:O48"/>
    <mergeCell ref="M49:O49"/>
    <mergeCell ref="Q2:S2"/>
    <mergeCell ref="U2:W2"/>
    <mergeCell ref="B48:D48"/>
    <mergeCell ref="B49:D49"/>
    <mergeCell ref="F48:H48"/>
    <mergeCell ref="F49:H49"/>
    <mergeCell ref="B2:D2"/>
    <mergeCell ref="F2:H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4A-DB3D-534A-AE99-93E97DC71466}">
  <dimension ref="A1:T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9" sqref="J49:L49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1" max="11" width="13.83203125" bestFit="1" customWidth="1"/>
    <col min="13" max="13" width="10.83203125" style="7"/>
    <col min="16" max="16" width="13.5" bestFit="1" customWidth="1"/>
    <col min="17" max="18" width="13.5" customWidth="1"/>
  </cols>
  <sheetData>
    <row r="1" spans="1:20" s="2" customFormat="1" ht="55" customHeight="1" x14ac:dyDescent="0.2">
      <c r="B1" s="82" t="s">
        <v>264</v>
      </c>
      <c r="C1" s="82"/>
      <c r="D1" s="82"/>
      <c r="E1" s="43"/>
      <c r="F1" s="82" t="s">
        <v>126</v>
      </c>
      <c r="G1" s="82"/>
      <c r="H1" s="82"/>
      <c r="I1" s="43"/>
      <c r="J1" s="82" t="s">
        <v>164</v>
      </c>
      <c r="K1" s="82"/>
      <c r="L1" s="82"/>
      <c r="M1" s="43"/>
    </row>
    <row r="2" spans="1:20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12"/>
      <c r="P2" s="2" t="s">
        <v>268</v>
      </c>
      <c r="Q2" s="2" t="s">
        <v>272</v>
      </c>
      <c r="R2" s="2" t="s">
        <v>276</v>
      </c>
      <c r="S2" s="2" t="s">
        <v>274</v>
      </c>
      <c r="T2" s="2" t="s">
        <v>275</v>
      </c>
    </row>
    <row r="3" spans="1:20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P3" s="2" t="s">
        <v>171</v>
      </c>
    </row>
    <row r="4" spans="1:20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P4" s="2" t="s">
        <v>269</v>
      </c>
    </row>
    <row r="5" spans="1:20" s="11" customFormat="1" ht="34" x14ac:dyDescent="0.2">
      <c r="A5" s="11" t="s">
        <v>90</v>
      </c>
      <c r="B5" s="11" t="s">
        <v>91</v>
      </c>
      <c r="C5" s="11" t="s">
        <v>91</v>
      </c>
      <c r="D5" s="11" t="s">
        <v>91</v>
      </c>
      <c r="E5" s="16"/>
      <c r="F5" s="11" t="s">
        <v>267</v>
      </c>
      <c r="G5" s="11" t="s">
        <v>267</v>
      </c>
      <c r="H5" s="11" t="s">
        <v>267</v>
      </c>
      <c r="I5" s="16"/>
      <c r="J5" s="11" t="s">
        <v>246</v>
      </c>
      <c r="K5" s="11" t="s">
        <v>246</v>
      </c>
      <c r="L5" s="11" t="s">
        <v>246</v>
      </c>
      <c r="M5" s="16"/>
      <c r="P5" s="11" t="s">
        <v>270</v>
      </c>
      <c r="Q5" s="11" t="s">
        <v>273</v>
      </c>
      <c r="R5" s="11" t="s">
        <v>271</v>
      </c>
      <c r="S5" s="11" t="s">
        <v>271</v>
      </c>
      <c r="T5" s="11" t="s">
        <v>271</v>
      </c>
    </row>
    <row r="6" spans="1:20" x14ac:dyDescent="0.2">
      <c r="A6" s="2">
        <v>1990</v>
      </c>
      <c r="B6">
        <v>0</v>
      </c>
      <c r="C6">
        <v>0.18</v>
      </c>
      <c r="D6">
        <v>0</v>
      </c>
    </row>
    <row r="7" spans="1:20" x14ac:dyDescent="0.2">
      <c r="A7" s="2">
        <v>1991</v>
      </c>
    </row>
    <row r="8" spans="1:20" x14ac:dyDescent="0.2">
      <c r="A8" s="2">
        <v>1992</v>
      </c>
    </row>
    <row r="9" spans="1:20" x14ac:dyDescent="0.2">
      <c r="A9" s="2">
        <v>1993</v>
      </c>
    </row>
    <row r="10" spans="1:20" x14ac:dyDescent="0.2">
      <c r="A10" s="2">
        <v>1994</v>
      </c>
    </row>
    <row r="11" spans="1:20" x14ac:dyDescent="0.2">
      <c r="A11" s="2">
        <v>1995</v>
      </c>
    </row>
    <row r="12" spans="1:20" x14ac:dyDescent="0.2">
      <c r="A12" s="2">
        <v>1996</v>
      </c>
    </row>
    <row r="13" spans="1:20" x14ac:dyDescent="0.2">
      <c r="A13" s="2">
        <v>1997</v>
      </c>
    </row>
    <row r="14" spans="1:20" x14ac:dyDescent="0.2">
      <c r="A14" s="2">
        <v>1998</v>
      </c>
    </row>
    <row r="15" spans="1:20" x14ac:dyDescent="0.2">
      <c r="A15" s="2">
        <v>1999</v>
      </c>
    </row>
    <row r="16" spans="1:20" x14ac:dyDescent="0.2">
      <c r="A16" s="2">
        <v>2000</v>
      </c>
    </row>
    <row r="17" spans="1:20" x14ac:dyDescent="0.2">
      <c r="A17" s="2">
        <v>2001</v>
      </c>
    </row>
    <row r="18" spans="1:20" x14ac:dyDescent="0.2">
      <c r="A18" s="2">
        <v>2002</v>
      </c>
    </row>
    <row r="19" spans="1:20" x14ac:dyDescent="0.2">
      <c r="A19" s="2">
        <v>2003</v>
      </c>
    </row>
    <row r="20" spans="1:20" x14ac:dyDescent="0.2">
      <c r="A20" s="2">
        <v>2004</v>
      </c>
    </row>
    <row r="21" spans="1:20" x14ac:dyDescent="0.2">
      <c r="A21" s="2">
        <v>2005</v>
      </c>
    </row>
    <row r="22" spans="1:20" x14ac:dyDescent="0.2">
      <c r="A22" s="2">
        <v>2006</v>
      </c>
    </row>
    <row r="23" spans="1:20" x14ac:dyDescent="0.2">
      <c r="A23" s="2">
        <v>2007</v>
      </c>
    </row>
    <row r="24" spans="1:20" x14ac:dyDescent="0.2">
      <c r="A24" s="2">
        <v>2008</v>
      </c>
    </row>
    <row r="25" spans="1:20" x14ac:dyDescent="0.2">
      <c r="A25" s="2">
        <v>2009</v>
      </c>
    </row>
    <row r="26" spans="1:20" x14ac:dyDescent="0.2">
      <c r="A26" s="2">
        <v>2010</v>
      </c>
      <c r="G26">
        <f t="shared" ref="G26:G31" si="0">T26</f>
        <v>751930</v>
      </c>
      <c r="P26">
        <v>1000</v>
      </c>
      <c r="Q26">
        <v>230</v>
      </c>
      <c r="R26">
        <f>P26*Q26</f>
        <v>230000</v>
      </c>
      <c r="S26">
        <f t="shared" ref="S26:S31" si="1">S27</f>
        <v>521930</v>
      </c>
      <c r="T26">
        <f t="shared" ref="T26:T33" si="2">SUM(R26:S26)</f>
        <v>751930</v>
      </c>
    </row>
    <row r="27" spans="1:20" x14ac:dyDescent="0.2">
      <c r="A27" s="2">
        <v>2011</v>
      </c>
      <c r="G27">
        <f t="shared" si="0"/>
        <v>705930</v>
      </c>
      <c r="P27">
        <v>800</v>
      </c>
      <c r="Q27">
        <v>230</v>
      </c>
      <c r="R27">
        <f t="shared" ref="R27:R33" si="3">P27*Q27</f>
        <v>184000</v>
      </c>
      <c r="S27">
        <f t="shared" si="1"/>
        <v>521930</v>
      </c>
      <c r="T27">
        <f t="shared" si="2"/>
        <v>705930</v>
      </c>
    </row>
    <row r="28" spans="1:20" x14ac:dyDescent="0.2">
      <c r="A28" s="2">
        <v>2012</v>
      </c>
      <c r="G28">
        <f t="shared" si="0"/>
        <v>669590</v>
      </c>
      <c r="P28">
        <v>642</v>
      </c>
      <c r="Q28">
        <v>230</v>
      </c>
      <c r="R28">
        <f t="shared" si="3"/>
        <v>147660</v>
      </c>
      <c r="S28">
        <f t="shared" si="1"/>
        <v>521930</v>
      </c>
      <c r="T28">
        <f t="shared" si="2"/>
        <v>669590</v>
      </c>
    </row>
    <row r="29" spans="1:20" x14ac:dyDescent="0.2">
      <c r="A29" s="2">
        <v>2013</v>
      </c>
      <c r="G29">
        <f t="shared" si="0"/>
        <v>659700</v>
      </c>
      <c r="P29">
        <v>599</v>
      </c>
      <c r="Q29">
        <v>230</v>
      </c>
      <c r="R29">
        <f t="shared" si="3"/>
        <v>137770</v>
      </c>
      <c r="S29">
        <f t="shared" si="1"/>
        <v>521930</v>
      </c>
      <c r="T29">
        <f t="shared" si="2"/>
        <v>659700</v>
      </c>
    </row>
    <row r="30" spans="1:20" x14ac:dyDescent="0.2">
      <c r="A30" s="2">
        <v>2014</v>
      </c>
      <c r="G30">
        <f t="shared" si="0"/>
        <v>646130</v>
      </c>
      <c r="P30">
        <v>540</v>
      </c>
      <c r="Q30">
        <v>230</v>
      </c>
      <c r="R30">
        <f t="shared" si="3"/>
        <v>124200</v>
      </c>
      <c r="S30">
        <f t="shared" si="1"/>
        <v>521930</v>
      </c>
      <c r="T30">
        <f t="shared" si="2"/>
        <v>646130</v>
      </c>
    </row>
    <row r="31" spans="1:20" x14ac:dyDescent="0.2">
      <c r="A31" s="2">
        <v>2015</v>
      </c>
      <c r="G31">
        <f t="shared" si="0"/>
        <v>602430</v>
      </c>
      <c r="P31">
        <v>350</v>
      </c>
      <c r="Q31">
        <v>230</v>
      </c>
      <c r="R31">
        <f t="shared" si="3"/>
        <v>80500</v>
      </c>
      <c r="S31">
        <f t="shared" si="1"/>
        <v>521930</v>
      </c>
      <c r="T31">
        <f>SUM(R31:S31)</f>
        <v>602430</v>
      </c>
    </row>
    <row r="32" spans="1:20" x14ac:dyDescent="0.2">
      <c r="A32" s="2">
        <v>2016</v>
      </c>
      <c r="G32">
        <f>T32</f>
        <v>584720</v>
      </c>
      <c r="P32">
        <v>273</v>
      </c>
      <c r="Q32">
        <v>230</v>
      </c>
      <c r="R32">
        <f t="shared" si="3"/>
        <v>62790</v>
      </c>
      <c r="S32">
        <f>S33</f>
        <v>521930</v>
      </c>
      <c r="T32">
        <f t="shared" si="2"/>
        <v>584720</v>
      </c>
    </row>
    <row r="33" spans="1:20" x14ac:dyDescent="0.2">
      <c r="A33" s="2">
        <v>2017</v>
      </c>
      <c r="F33">
        <v>450000</v>
      </c>
      <c r="G33">
        <f>T33</f>
        <v>570000</v>
      </c>
      <c r="H33">
        <v>450000</v>
      </c>
      <c r="P33">
        <v>209</v>
      </c>
      <c r="Q33">
        <v>230</v>
      </c>
      <c r="R33">
        <f t="shared" si="3"/>
        <v>48070</v>
      </c>
      <c r="S33">
        <f>570000-R33</f>
        <v>521930</v>
      </c>
      <c r="T33">
        <f t="shared" si="2"/>
        <v>570000</v>
      </c>
    </row>
    <row r="34" spans="1:20" x14ac:dyDescent="0.2">
      <c r="A34" s="2">
        <v>2018</v>
      </c>
    </row>
    <row r="35" spans="1:20" x14ac:dyDescent="0.2">
      <c r="A35" s="2">
        <v>2019</v>
      </c>
    </row>
    <row r="36" spans="1:20" x14ac:dyDescent="0.2">
      <c r="A36" s="2">
        <v>2020</v>
      </c>
      <c r="J36">
        <f>0.008*80*0.4*1000000</f>
        <v>256000</v>
      </c>
      <c r="K36">
        <f>0.006*80*0.4*1000000</f>
        <v>192000</v>
      </c>
      <c r="L36">
        <f>0.008*80*0.4*1000000</f>
        <v>256000</v>
      </c>
    </row>
    <row r="37" spans="1:20" x14ac:dyDescent="0.2">
      <c r="A37" s="2">
        <v>2021</v>
      </c>
    </row>
    <row r="38" spans="1:20" x14ac:dyDescent="0.2">
      <c r="A38" s="2">
        <v>2022</v>
      </c>
    </row>
    <row r="39" spans="1:20" x14ac:dyDescent="0.2">
      <c r="A39"/>
    </row>
    <row r="40" spans="1:20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44"/>
    </row>
    <row r="41" spans="1:20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44"/>
    </row>
    <row r="42" spans="1:20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44"/>
    </row>
    <row r="43" spans="1:20" x14ac:dyDescent="0.2">
      <c r="A43" s="2" t="s">
        <v>86</v>
      </c>
    </row>
    <row r="44" spans="1:20" x14ac:dyDescent="0.2">
      <c r="A44" s="2" t="s">
        <v>95</v>
      </c>
    </row>
    <row r="45" spans="1:20" x14ac:dyDescent="0.2">
      <c r="A45" s="2" t="s">
        <v>96</v>
      </c>
    </row>
    <row r="46" spans="1:20" x14ac:dyDescent="0.2">
      <c r="A46" s="2" t="s">
        <v>97</v>
      </c>
    </row>
    <row r="47" spans="1:20" ht="31" customHeight="1" x14ac:dyDescent="0.2"/>
    <row r="48" spans="1:20" s="36" customFormat="1" ht="66" customHeight="1" x14ac:dyDescent="0.2">
      <c r="A48" s="11" t="s">
        <v>6</v>
      </c>
      <c r="C48" s="36" t="s">
        <v>278</v>
      </c>
      <c r="E48" s="35"/>
      <c r="G48" s="36" t="s">
        <v>266</v>
      </c>
      <c r="I48" s="35"/>
      <c r="J48" s="69" t="s">
        <v>314</v>
      </c>
      <c r="K48" s="69"/>
      <c r="L48" s="69"/>
      <c r="M48" s="35"/>
      <c r="P48" s="36" t="s">
        <v>312</v>
      </c>
      <c r="S48" s="37" t="s">
        <v>265</v>
      </c>
    </row>
    <row r="49" spans="1:16" s="36" customFormat="1" ht="32" customHeight="1" x14ac:dyDescent="0.2">
      <c r="A49" s="11" t="s">
        <v>7</v>
      </c>
      <c r="B49" s="37"/>
      <c r="C49" s="37" t="s">
        <v>265</v>
      </c>
      <c r="D49" s="37"/>
      <c r="E49" s="35"/>
      <c r="F49" s="37"/>
      <c r="G49" s="37"/>
      <c r="H49" s="37"/>
      <c r="I49" s="35"/>
      <c r="J49" s="102" t="s">
        <v>282</v>
      </c>
      <c r="K49" s="102"/>
      <c r="L49" s="102"/>
      <c r="M49" s="35"/>
      <c r="P49" s="37" t="s">
        <v>282</v>
      </c>
    </row>
  </sheetData>
  <mergeCells count="8">
    <mergeCell ref="J49:L49"/>
    <mergeCell ref="B1:D1"/>
    <mergeCell ref="F1:H1"/>
    <mergeCell ref="J1:L1"/>
    <mergeCell ref="B2:D2"/>
    <mergeCell ref="F2:H2"/>
    <mergeCell ref="J2:L2"/>
    <mergeCell ref="J48:L48"/>
  </mergeCells>
  <phoneticPr fontId="27" type="noConversion"/>
  <hyperlinks>
    <hyperlink ref="S48" r:id="rId1" xr:uid="{132A80A6-8E4D-0343-910B-9E588D2909B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C01E-161B-5F4E-8A98-F44C8E605726}">
  <dimension ref="A1: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9" sqref="B49:D49"/>
    </sheetView>
  </sheetViews>
  <sheetFormatPr baseColWidth="10" defaultRowHeight="16" x14ac:dyDescent="0.2"/>
  <cols>
    <col min="1" max="1" width="11.6640625" style="2" bestFit="1" customWidth="1"/>
    <col min="2" max="2" width="11.1640625" bestFit="1" customWidth="1"/>
    <col min="4" max="4" width="12.1640625" bestFit="1" customWidth="1"/>
    <col min="5" max="5" width="10.83203125" style="7"/>
    <col min="9" max="9" width="10.83203125" style="7"/>
  </cols>
  <sheetData>
    <row r="1" spans="1:17" s="2" customFormat="1" ht="55" customHeight="1" x14ac:dyDescent="0.2">
      <c r="B1" s="82" t="s">
        <v>242</v>
      </c>
      <c r="C1" s="82"/>
      <c r="D1" s="82"/>
      <c r="E1" s="43"/>
      <c r="F1" s="82" t="s">
        <v>243</v>
      </c>
      <c r="G1" s="82"/>
      <c r="H1" s="82"/>
      <c r="I1" s="43"/>
      <c r="J1"/>
    </row>
    <row r="2" spans="1:17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/>
      <c r="K2" s="2" t="s">
        <v>43</v>
      </c>
    </row>
    <row r="3" spans="1:1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/>
      <c r="K3" s="2" t="s">
        <v>58</v>
      </c>
    </row>
    <row r="4" spans="1:1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/>
      <c r="K4" s="2" t="s">
        <v>59</v>
      </c>
    </row>
    <row r="5" spans="1:17" s="2" customFormat="1" ht="34" x14ac:dyDescent="0.2">
      <c r="A5" s="11" t="s">
        <v>90</v>
      </c>
      <c r="B5" s="11" t="s">
        <v>123</v>
      </c>
      <c r="C5" s="11" t="s">
        <v>122</v>
      </c>
      <c r="D5" s="11" t="s">
        <v>123</v>
      </c>
      <c r="E5" s="6"/>
      <c r="F5" s="11" t="s">
        <v>315</v>
      </c>
      <c r="G5" s="11" t="s">
        <v>315</v>
      </c>
      <c r="H5" s="11" t="s">
        <v>315</v>
      </c>
      <c r="I5" s="6"/>
      <c r="J5"/>
      <c r="K5" s="2" t="s">
        <v>91</v>
      </c>
      <c r="M5" s="2" t="s">
        <v>101</v>
      </c>
      <c r="N5" s="2" t="s">
        <v>101</v>
      </c>
      <c r="Q5" s="2" t="s">
        <v>188</v>
      </c>
    </row>
    <row r="6" spans="1:17" x14ac:dyDescent="0.2">
      <c r="A6" s="2">
        <v>1990</v>
      </c>
      <c r="K6">
        <f>Bus.Act!S6</f>
        <v>281.94499999999999</v>
      </c>
      <c r="N6">
        <v>2289</v>
      </c>
      <c r="O6">
        <f>SUM(M6:N6)</f>
        <v>2289</v>
      </c>
    </row>
    <row r="7" spans="1:17" x14ac:dyDescent="0.2">
      <c r="A7" s="2">
        <v>1991</v>
      </c>
      <c r="K7">
        <f>Bus.Act!S7</f>
        <v>294.09800000000001</v>
      </c>
      <c r="N7">
        <v>2273</v>
      </c>
      <c r="O7">
        <f t="shared" ref="O7:O37" si="0">SUM(M7:N7)</f>
        <v>2273</v>
      </c>
    </row>
    <row r="8" spans="1:17" x14ac:dyDescent="0.2">
      <c r="A8" s="2">
        <v>1992</v>
      </c>
      <c r="K8">
        <f>Bus.Act!S8</f>
        <v>296.74199999999996</v>
      </c>
      <c r="N8">
        <v>2306</v>
      </c>
      <c r="O8">
        <f t="shared" si="0"/>
        <v>2306</v>
      </c>
    </row>
    <row r="9" spans="1:17" x14ac:dyDescent="0.2">
      <c r="A9" s="2">
        <v>1993</v>
      </c>
      <c r="K9">
        <f>Bus.Act!S9</f>
        <v>298.99900000000002</v>
      </c>
      <c r="N9">
        <v>2301</v>
      </c>
      <c r="O9">
        <f t="shared" si="0"/>
        <v>2301</v>
      </c>
    </row>
    <row r="10" spans="1:17" x14ac:dyDescent="0.2">
      <c r="A10" s="2">
        <v>1994</v>
      </c>
      <c r="K10">
        <f>Bus.Act!S10</f>
        <v>299.55600000000004</v>
      </c>
      <c r="N10">
        <v>2323</v>
      </c>
      <c r="O10">
        <f t="shared" si="0"/>
        <v>2323</v>
      </c>
    </row>
    <row r="11" spans="1:17" x14ac:dyDescent="0.2">
      <c r="A11" s="2">
        <v>1995</v>
      </c>
      <c r="K11">
        <f>Bus.Act!S11</f>
        <v>302.15600000000001</v>
      </c>
      <c r="N11">
        <v>2327</v>
      </c>
      <c r="O11">
        <f t="shared" si="0"/>
        <v>2327</v>
      </c>
    </row>
    <row r="12" spans="1:17" x14ac:dyDescent="0.2">
      <c r="A12" s="2">
        <v>1996</v>
      </c>
      <c r="K12">
        <f>Bus.Act!S12</f>
        <v>297.41300000000001</v>
      </c>
      <c r="N12">
        <v>2304</v>
      </c>
      <c r="O12">
        <f t="shared" si="0"/>
        <v>2304</v>
      </c>
    </row>
    <row r="13" spans="1:17" x14ac:dyDescent="0.2">
      <c r="A13" s="2">
        <v>1997</v>
      </c>
      <c r="F13">
        <f>$Q13</f>
        <v>12.892920342028125</v>
      </c>
      <c r="G13">
        <f t="shared" ref="G13:H13" si="1">$Q13</f>
        <v>12.892920342028125</v>
      </c>
      <c r="H13">
        <f t="shared" si="1"/>
        <v>12.892920342028125</v>
      </c>
      <c r="K13">
        <f>Bus.Act!S13</f>
        <v>296.11599999999999</v>
      </c>
      <c r="M13">
        <v>1530.8</v>
      </c>
      <c r="N13">
        <v>2287</v>
      </c>
      <c r="O13">
        <f t="shared" si="0"/>
        <v>3817.8</v>
      </c>
      <c r="Q13">
        <f t="shared" ref="Q13:Q37" si="2">O13/K13</f>
        <v>12.892920342028125</v>
      </c>
    </row>
    <row r="14" spans="1:17" x14ac:dyDescent="0.2">
      <c r="A14" s="2">
        <v>1998</v>
      </c>
      <c r="F14">
        <f t="shared" ref="F14:H37" si="3">$Q14</f>
        <v>12.480647119404717</v>
      </c>
      <c r="G14">
        <f t="shared" si="3"/>
        <v>12.480647119404717</v>
      </c>
      <c r="H14">
        <f t="shared" si="3"/>
        <v>12.480647119404717</v>
      </c>
      <c r="K14">
        <f>Bus.Act!S14</f>
        <v>293.238</v>
      </c>
      <c r="M14">
        <v>1530.8</v>
      </c>
      <c r="N14">
        <v>2129</v>
      </c>
      <c r="O14">
        <f t="shared" si="0"/>
        <v>3659.8</v>
      </c>
      <c r="Q14">
        <f t="shared" si="2"/>
        <v>12.480647119404717</v>
      </c>
    </row>
    <row r="15" spans="1:17" x14ac:dyDescent="0.2">
      <c r="A15" s="2">
        <v>1999</v>
      </c>
      <c r="F15">
        <f t="shared" si="3"/>
        <v>12.343507748628877</v>
      </c>
      <c r="G15">
        <f t="shared" si="3"/>
        <v>12.343507748628877</v>
      </c>
      <c r="H15">
        <f t="shared" si="3"/>
        <v>12.343507748628877</v>
      </c>
      <c r="K15">
        <f>Bus.Act!S15</f>
        <v>292.82600000000002</v>
      </c>
      <c r="M15">
        <v>1545.5</v>
      </c>
      <c r="N15">
        <v>2069</v>
      </c>
      <c r="O15">
        <f t="shared" si="0"/>
        <v>3614.5</v>
      </c>
      <c r="Q15">
        <f t="shared" si="2"/>
        <v>12.343507748628877</v>
      </c>
    </row>
    <row r="16" spans="1:17" x14ac:dyDescent="0.2">
      <c r="A16" s="2">
        <v>2000</v>
      </c>
      <c r="F16">
        <f t="shared" si="3"/>
        <v>12.334430158565448</v>
      </c>
      <c r="G16">
        <f t="shared" si="3"/>
        <v>12.334430158565448</v>
      </c>
      <c r="H16">
        <f t="shared" si="3"/>
        <v>12.334430158565448</v>
      </c>
      <c r="K16">
        <f>Bus.Act!S16</f>
        <v>298.74099999999999</v>
      </c>
      <c r="M16">
        <v>1597.8</v>
      </c>
      <c r="N16">
        <v>2087</v>
      </c>
      <c r="O16">
        <f t="shared" si="0"/>
        <v>3684.8</v>
      </c>
      <c r="Q16">
        <f t="shared" si="2"/>
        <v>12.334430158565448</v>
      </c>
    </row>
    <row r="17" spans="1:17" x14ac:dyDescent="0.2">
      <c r="A17" s="2">
        <v>2001</v>
      </c>
      <c r="F17">
        <f t="shared" si="3"/>
        <v>12.327709046357086</v>
      </c>
      <c r="G17">
        <f t="shared" si="3"/>
        <v>12.327709046357086</v>
      </c>
      <c r="H17">
        <f t="shared" si="3"/>
        <v>12.327709046357086</v>
      </c>
      <c r="K17">
        <f>Bus.Act!S17</f>
        <v>300.36400000000003</v>
      </c>
      <c r="M17">
        <v>1692.8</v>
      </c>
      <c r="N17">
        <v>2010</v>
      </c>
      <c r="O17">
        <f t="shared" si="0"/>
        <v>3702.8</v>
      </c>
      <c r="Q17">
        <f t="shared" si="2"/>
        <v>12.327709046357086</v>
      </c>
    </row>
    <row r="18" spans="1:17" x14ac:dyDescent="0.2">
      <c r="A18" s="2">
        <v>2002</v>
      </c>
      <c r="F18">
        <f t="shared" si="3"/>
        <v>12.239624778211674</v>
      </c>
      <c r="G18">
        <f t="shared" si="3"/>
        <v>12.239624778211674</v>
      </c>
      <c r="H18">
        <f t="shared" si="3"/>
        <v>12.239624778211674</v>
      </c>
      <c r="K18">
        <f>Bus.Act!S18</f>
        <v>304.11879999999996</v>
      </c>
      <c r="M18">
        <v>1754.3</v>
      </c>
      <c r="N18">
        <v>1968</v>
      </c>
      <c r="O18">
        <f t="shared" si="0"/>
        <v>3722.3</v>
      </c>
      <c r="Q18">
        <f t="shared" si="2"/>
        <v>12.239624778211674</v>
      </c>
    </row>
    <row r="19" spans="1:17" x14ac:dyDescent="0.2">
      <c r="A19" s="2">
        <v>2003</v>
      </c>
      <c r="F19">
        <f t="shared" si="3"/>
        <v>12.163790840106042</v>
      </c>
      <c r="G19">
        <f t="shared" si="3"/>
        <v>12.163790840106042</v>
      </c>
      <c r="H19">
        <f t="shared" si="3"/>
        <v>12.163790840106042</v>
      </c>
      <c r="K19">
        <f>Bus.Act!S19</f>
        <v>315.48552999999998</v>
      </c>
      <c r="M19">
        <v>1820.5</v>
      </c>
      <c r="N19">
        <v>2017</v>
      </c>
      <c r="O19">
        <f t="shared" si="0"/>
        <v>3837.5</v>
      </c>
      <c r="Q19">
        <f t="shared" si="2"/>
        <v>12.163790840106042</v>
      </c>
    </row>
    <row r="20" spans="1:17" x14ac:dyDescent="0.2">
      <c r="A20" s="2">
        <v>2004</v>
      </c>
      <c r="F20">
        <f t="shared" si="3"/>
        <v>12.118962413188155</v>
      </c>
      <c r="G20">
        <f t="shared" si="3"/>
        <v>12.118962413188155</v>
      </c>
      <c r="H20">
        <f t="shared" si="3"/>
        <v>12.118962413188155</v>
      </c>
      <c r="K20">
        <f>Bus.Act!S20</f>
        <v>317.83249000000001</v>
      </c>
      <c r="M20">
        <v>1785.8</v>
      </c>
      <c r="N20">
        <v>2066</v>
      </c>
      <c r="O20">
        <f t="shared" si="0"/>
        <v>3851.8</v>
      </c>
      <c r="Q20">
        <f t="shared" si="2"/>
        <v>12.118962413188155</v>
      </c>
    </row>
    <row r="21" spans="1:17" x14ac:dyDescent="0.2">
      <c r="A21" s="2">
        <v>2005</v>
      </c>
      <c r="F21">
        <f t="shared" si="3"/>
        <v>14.267666963331084</v>
      </c>
      <c r="G21">
        <f t="shared" si="3"/>
        <v>14.267666963331084</v>
      </c>
      <c r="H21">
        <f t="shared" si="3"/>
        <v>14.267666963331084</v>
      </c>
      <c r="K21">
        <f>Bus.Act!S21</f>
        <v>334.834</v>
      </c>
      <c r="M21">
        <v>2542.3000000000002</v>
      </c>
      <c r="N21">
        <v>2235</v>
      </c>
      <c r="O21">
        <f t="shared" si="0"/>
        <v>4777.3</v>
      </c>
      <c r="Q21">
        <f t="shared" si="2"/>
        <v>14.267666963331084</v>
      </c>
    </row>
    <row r="22" spans="1:17" x14ac:dyDescent="0.2">
      <c r="A22" s="2">
        <v>2006</v>
      </c>
      <c r="F22">
        <f t="shared" si="3"/>
        <v>14.442759666413949</v>
      </c>
      <c r="G22">
        <f t="shared" si="3"/>
        <v>14.442759666413949</v>
      </c>
      <c r="H22">
        <f t="shared" si="3"/>
        <v>14.442759666413949</v>
      </c>
      <c r="K22">
        <f>Bus.Act!S22</f>
        <v>350.85400000000004</v>
      </c>
      <c r="M22">
        <v>2567.3000000000002</v>
      </c>
      <c r="N22">
        <v>2500</v>
      </c>
      <c r="O22">
        <f t="shared" si="0"/>
        <v>5067.3</v>
      </c>
      <c r="Q22">
        <f t="shared" si="2"/>
        <v>14.442759666413949</v>
      </c>
    </row>
    <row r="23" spans="1:17" x14ac:dyDescent="0.2">
      <c r="A23" s="2">
        <v>2007</v>
      </c>
      <c r="F23">
        <f t="shared" si="3"/>
        <v>14.756921105546322</v>
      </c>
      <c r="G23">
        <f t="shared" si="3"/>
        <v>14.756921105546322</v>
      </c>
      <c r="H23">
        <f t="shared" si="3"/>
        <v>14.756921105546322</v>
      </c>
      <c r="K23">
        <f>Bus.Act!S23</f>
        <v>349.61900000000003</v>
      </c>
      <c r="M23">
        <v>2627.3</v>
      </c>
      <c r="N23">
        <v>2532</v>
      </c>
      <c r="O23">
        <f t="shared" si="0"/>
        <v>5159.3</v>
      </c>
      <c r="Q23">
        <f t="shared" si="2"/>
        <v>14.756921105546322</v>
      </c>
    </row>
    <row r="24" spans="1:17" x14ac:dyDescent="0.2">
      <c r="A24" s="2">
        <v>2008</v>
      </c>
      <c r="F24">
        <f t="shared" si="3"/>
        <v>14.030701754385966</v>
      </c>
      <c r="G24">
        <f t="shared" si="3"/>
        <v>14.030701754385966</v>
      </c>
      <c r="H24">
        <f t="shared" si="3"/>
        <v>14.030701754385966</v>
      </c>
      <c r="K24">
        <f>Bus.Act!S24</f>
        <v>342</v>
      </c>
      <c r="M24">
        <v>2388.5</v>
      </c>
      <c r="N24">
        <v>2410</v>
      </c>
      <c r="O24">
        <f t="shared" si="0"/>
        <v>4798.5</v>
      </c>
      <c r="Q24">
        <f t="shared" si="2"/>
        <v>14.030701754385966</v>
      </c>
    </row>
    <row r="25" spans="1:17" x14ac:dyDescent="0.2">
      <c r="A25" s="2">
        <v>2009</v>
      </c>
      <c r="F25">
        <f t="shared" si="3"/>
        <v>13.86805367683616</v>
      </c>
      <c r="G25">
        <f t="shared" si="3"/>
        <v>13.86805367683616</v>
      </c>
      <c r="H25">
        <f t="shared" si="3"/>
        <v>13.86805367683616</v>
      </c>
      <c r="K25">
        <f>Bus.Act!S25</f>
        <v>354</v>
      </c>
      <c r="M25">
        <v>2458.1</v>
      </c>
      <c r="N25">
        <v>2451.1910016000002</v>
      </c>
      <c r="O25">
        <f t="shared" si="0"/>
        <v>4909.2910016000005</v>
      </c>
      <c r="Q25">
        <f t="shared" si="2"/>
        <v>13.86805367683616</v>
      </c>
    </row>
    <row r="26" spans="1:17" x14ac:dyDescent="0.2">
      <c r="A26" s="2">
        <v>2010</v>
      </c>
      <c r="F26">
        <f t="shared" si="3"/>
        <v>13.778788731604468</v>
      </c>
      <c r="G26">
        <f t="shared" si="3"/>
        <v>13.778788731604468</v>
      </c>
      <c r="H26">
        <f t="shared" si="3"/>
        <v>13.778788731604468</v>
      </c>
      <c r="K26">
        <f>Bus.Act!S26</f>
        <v>362.32168000000001</v>
      </c>
      <c r="M26">
        <v>2493.4</v>
      </c>
      <c r="N26">
        <v>2498.9538815999999</v>
      </c>
      <c r="O26">
        <f t="shared" si="0"/>
        <v>4992.3538816</v>
      </c>
      <c r="Q26">
        <f t="shared" si="2"/>
        <v>13.778788731604468</v>
      </c>
    </row>
    <row r="27" spans="1:17" x14ac:dyDescent="0.2">
      <c r="A27" s="2">
        <v>2011</v>
      </c>
      <c r="F27">
        <f t="shared" si="3"/>
        <v>13.660467239831632</v>
      </c>
      <c r="G27">
        <f t="shared" si="3"/>
        <v>13.660467239831632</v>
      </c>
      <c r="H27">
        <f t="shared" si="3"/>
        <v>13.660467239831632</v>
      </c>
      <c r="K27">
        <f>Bus.Act!S27</f>
        <v>372.46054000000004</v>
      </c>
      <c r="M27">
        <v>2510.6999999999998</v>
      </c>
      <c r="N27">
        <v>2577.2850048</v>
      </c>
      <c r="O27">
        <f t="shared" si="0"/>
        <v>5087.9850047999998</v>
      </c>
      <c r="Q27">
        <f t="shared" si="2"/>
        <v>13.660467239831632</v>
      </c>
    </row>
    <row r="28" spans="1:17" x14ac:dyDescent="0.2">
      <c r="A28" s="2">
        <v>2012</v>
      </c>
      <c r="F28">
        <f t="shared" si="3"/>
        <v>13.747772565737003</v>
      </c>
      <c r="G28">
        <f t="shared" si="3"/>
        <v>13.747772565737003</v>
      </c>
      <c r="H28">
        <f t="shared" si="3"/>
        <v>13.747772565737003</v>
      </c>
      <c r="K28">
        <f>Bus.Act!S28</f>
        <v>378.31204000000002</v>
      </c>
      <c r="M28">
        <v>2575.9</v>
      </c>
      <c r="N28">
        <v>2625.0478847999998</v>
      </c>
      <c r="O28">
        <f t="shared" si="0"/>
        <v>5200.9478847999999</v>
      </c>
      <c r="Q28">
        <f t="shared" si="2"/>
        <v>13.747772565737003</v>
      </c>
    </row>
    <row r="29" spans="1:17" x14ac:dyDescent="0.2">
      <c r="A29" s="2">
        <v>2013</v>
      </c>
      <c r="F29">
        <f t="shared" si="3"/>
        <v>13.586171271694839</v>
      </c>
      <c r="G29">
        <f t="shared" si="3"/>
        <v>13.586171271694839</v>
      </c>
      <c r="H29">
        <f t="shared" si="3"/>
        <v>13.586171271694839</v>
      </c>
      <c r="K29">
        <f>Bus.Act!S29</f>
        <v>387.12141000000003</v>
      </c>
      <c r="M29">
        <v>2616.3000000000002</v>
      </c>
      <c r="N29">
        <v>2643.1977791999998</v>
      </c>
      <c r="O29">
        <f t="shared" si="0"/>
        <v>5259.4977792</v>
      </c>
      <c r="Q29">
        <f t="shared" si="2"/>
        <v>13.586171271694839</v>
      </c>
    </row>
    <row r="30" spans="1:17" x14ac:dyDescent="0.2">
      <c r="A30" s="2">
        <v>2014</v>
      </c>
      <c r="F30">
        <f t="shared" si="3"/>
        <v>13.631688462365574</v>
      </c>
      <c r="G30">
        <f t="shared" si="3"/>
        <v>13.631688462365574</v>
      </c>
      <c r="H30">
        <f t="shared" si="3"/>
        <v>13.631688462365574</v>
      </c>
      <c r="K30">
        <f>Bus.Act!S30</f>
        <v>394.37520999999998</v>
      </c>
      <c r="M30">
        <v>2675.5</v>
      </c>
      <c r="N30">
        <v>2700.5</v>
      </c>
      <c r="O30">
        <f t="shared" si="0"/>
        <v>5376</v>
      </c>
      <c r="Q30">
        <f t="shared" si="2"/>
        <v>13.631688462365574</v>
      </c>
    </row>
    <row r="31" spans="1:17" x14ac:dyDescent="0.2">
      <c r="A31" s="2">
        <v>2015</v>
      </c>
      <c r="F31">
        <f t="shared" si="3"/>
        <v>13.617766573905532</v>
      </c>
      <c r="G31">
        <f t="shared" si="3"/>
        <v>13.617766573905532</v>
      </c>
      <c r="H31">
        <f t="shared" si="3"/>
        <v>13.617766573905532</v>
      </c>
      <c r="K31">
        <f>Bus.Act!S31</f>
        <v>403.41607999999997</v>
      </c>
      <c r="M31">
        <v>2727.2</v>
      </c>
      <c r="N31">
        <v>2766.4260095999998</v>
      </c>
      <c r="O31">
        <f t="shared" si="0"/>
        <v>5493.6260095999996</v>
      </c>
      <c r="Q31">
        <f t="shared" si="2"/>
        <v>13.617766573905532</v>
      </c>
    </row>
    <row r="32" spans="1:17" x14ac:dyDescent="0.2">
      <c r="A32" s="2">
        <v>2016</v>
      </c>
      <c r="F32">
        <f t="shared" si="3"/>
        <v>13.535408452010143</v>
      </c>
      <c r="G32">
        <f t="shared" si="3"/>
        <v>13.535408452010143</v>
      </c>
      <c r="H32">
        <f t="shared" si="3"/>
        <v>13.535408452010143</v>
      </c>
      <c r="K32">
        <f>Bus.Act!S32</f>
        <v>414.36556999999993</v>
      </c>
      <c r="M32">
        <v>2782</v>
      </c>
      <c r="N32">
        <v>2826.6072383999999</v>
      </c>
      <c r="O32">
        <f t="shared" si="0"/>
        <v>5608.6072383999999</v>
      </c>
      <c r="Q32">
        <f t="shared" si="2"/>
        <v>13.535408452010143</v>
      </c>
    </row>
    <row r="33" spans="1:17" x14ac:dyDescent="0.2">
      <c r="A33" s="2">
        <v>2017</v>
      </c>
      <c r="B33">
        <f>1.74/1000000</f>
        <v>1.7400000000000001E-6</v>
      </c>
      <c r="C33">
        <f>0.8046/1000000</f>
        <v>8.0459999999999999E-7</v>
      </c>
      <c r="D33">
        <f>B33*0.8</f>
        <v>1.3920000000000002E-6</v>
      </c>
      <c r="F33">
        <f t="shared" si="3"/>
        <v>13.549564192564148</v>
      </c>
      <c r="G33">
        <f t="shared" si="3"/>
        <v>13.549564192564148</v>
      </c>
      <c r="H33">
        <f t="shared" si="3"/>
        <v>13.549564192564148</v>
      </c>
      <c r="K33">
        <f>Bus.Act!S33</f>
        <v>417.1223</v>
      </c>
      <c r="M33">
        <v>2776.5</v>
      </c>
      <c r="N33">
        <v>2875.3253800000002</v>
      </c>
      <c r="O33">
        <f t="shared" si="0"/>
        <v>5651.8253800000002</v>
      </c>
      <c r="Q33">
        <f t="shared" si="2"/>
        <v>13.549564192564148</v>
      </c>
    </row>
    <row r="34" spans="1:17" x14ac:dyDescent="0.2">
      <c r="A34" s="2">
        <v>2018</v>
      </c>
      <c r="F34">
        <f t="shared" si="3"/>
        <v>13.315673181578768</v>
      </c>
      <c r="G34">
        <f t="shared" si="3"/>
        <v>13.315673181578768</v>
      </c>
      <c r="H34">
        <f t="shared" si="3"/>
        <v>13.315673181578768</v>
      </c>
      <c r="K34">
        <f>Bus.Act!S34</f>
        <v>430.25702000000001</v>
      </c>
      <c r="M34">
        <v>2792.7</v>
      </c>
      <c r="N34">
        <v>2936.4618624</v>
      </c>
      <c r="O34">
        <f t="shared" si="0"/>
        <v>5729.1618624000002</v>
      </c>
      <c r="Q34">
        <f t="shared" si="2"/>
        <v>13.315673181578768</v>
      </c>
    </row>
    <row r="35" spans="1:17" x14ac:dyDescent="0.2">
      <c r="A35" s="2">
        <v>2019</v>
      </c>
      <c r="F35">
        <f t="shared" si="3"/>
        <v>13.588614763325307</v>
      </c>
      <c r="G35">
        <f t="shared" si="3"/>
        <v>13.588614763325307</v>
      </c>
      <c r="H35">
        <f t="shared" si="3"/>
        <v>13.588614763325307</v>
      </c>
      <c r="K35">
        <f>Bus.Act!S35</f>
        <v>442.32528000000002</v>
      </c>
      <c r="M35">
        <v>3014.9</v>
      </c>
      <c r="N35">
        <v>2995.6878299999998</v>
      </c>
      <c r="O35">
        <f t="shared" si="0"/>
        <v>6010.5878300000004</v>
      </c>
      <c r="Q35">
        <f t="shared" si="2"/>
        <v>13.588614763325307</v>
      </c>
    </row>
    <row r="36" spans="1:17" x14ac:dyDescent="0.2">
      <c r="A36" s="2">
        <v>2020</v>
      </c>
      <c r="F36">
        <f t="shared" si="3"/>
        <v>11.768257250215719</v>
      </c>
      <c r="G36">
        <f t="shared" si="3"/>
        <v>11.768257250215719</v>
      </c>
      <c r="H36">
        <f t="shared" si="3"/>
        <v>11.768257250215719</v>
      </c>
      <c r="K36">
        <f>Bus.Act!S36</f>
        <v>424.57184999999998</v>
      </c>
      <c r="M36">
        <v>2231</v>
      </c>
      <c r="N36">
        <v>2765.4707520000002</v>
      </c>
      <c r="O36">
        <f t="shared" si="0"/>
        <v>4996.4707520000002</v>
      </c>
      <c r="Q36">
        <f t="shared" si="2"/>
        <v>11.768257250215719</v>
      </c>
    </row>
    <row r="37" spans="1:17" x14ac:dyDescent="0.2">
      <c r="A37" s="2">
        <v>2021</v>
      </c>
      <c r="F37">
        <f t="shared" si="3"/>
        <v>11.766576553990241</v>
      </c>
      <c r="G37">
        <f t="shared" si="3"/>
        <v>11.766576553990241</v>
      </c>
      <c r="H37">
        <f t="shared" si="3"/>
        <v>11.766576553990241</v>
      </c>
      <c r="K37">
        <f>Bus.Act!S37</f>
        <v>449.24719000000005</v>
      </c>
      <c r="M37">
        <v>2369.6999999999998</v>
      </c>
      <c r="N37">
        <v>2916.4014528000002</v>
      </c>
      <c r="O37">
        <f t="shared" si="0"/>
        <v>5286.1014527999996</v>
      </c>
      <c r="Q37">
        <f t="shared" si="2"/>
        <v>11.766576553990241</v>
      </c>
    </row>
    <row r="38" spans="1:17" x14ac:dyDescent="0.2">
      <c r="A38" s="2">
        <v>2022</v>
      </c>
    </row>
    <row r="39" spans="1:17" x14ac:dyDescent="0.2">
      <c r="A39"/>
    </row>
    <row r="40" spans="1:17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Q40">
        <f>AVERAGE(Q6:Q37)</f>
        <v>13.192577794073079</v>
      </c>
    </row>
    <row r="41" spans="1:17" x14ac:dyDescent="0.2">
      <c r="B41" s="36"/>
      <c r="C41" s="36"/>
      <c r="D41" s="36"/>
      <c r="E41" s="44"/>
      <c r="F41" s="36"/>
      <c r="G41" s="36"/>
      <c r="H41" s="36"/>
      <c r="I41" s="44"/>
    </row>
    <row r="42" spans="1:17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Q42">
        <f>_xlfn.VAR.S(Q6:Q37)</f>
        <v>0.75517795934615339</v>
      </c>
    </row>
    <row r="43" spans="1:17" x14ac:dyDescent="0.2">
      <c r="A43" s="2" t="s">
        <v>86</v>
      </c>
      <c r="Q43">
        <f>STDEV(Q6:Q37)</f>
        <v>0.86900975791193125</v>
      </c>
    </row>
    <row r="44" spans="1:17" x14ac:dyDescent="0.2">
      <c r="A44" s="2" t="s">
        <v>95</v>
      </c>
      <c r="Q44">
        <f>Q43/Q40</f>
        <v>6.5871111126010878E-2</v>
      </c>
    </row>
    <row r="45" spans="1:17" x14ac:dyDescent="0.2">
      <c r="A45" s="2" t="s">
        <v>96</v>
      </c>
      <c r="Q45">
        <f>AVEDEV(Q6:Q38)</f>
        <v>0.7591481352027768</v>
      </c>
    </row>
    <row r="46" spans="1:17" x14ac:dyDescent="0.2">
      <c r="A46" s="2" t="s">
        <v>97</v>
      </c>
      <c r="Q46">
        <f>Q45/Q40</f>
        <v>5.7543578446346777E-2</v>
      </c>
    </row>
    <row r="48" spans="1:17" s="36" customFormat="1" ht="65" customHeight="1" x14ac:dyDescent="0.2">
      <c r="A48" s="11" t="s">
        <v>6</v>
      </c>
      <c r="B48" s="36" t="s">
        <v>279</v>
      </c>
      <c r="C48" s="36" t="s">
        <v>280</v>
      </c>
      <c r="D48" s="36" t="s">
        <v>281</v>
      </c>
      <c r="E48" s="35"/>
      <c r="I48" s="35"/>
      <c r="K48" s="69" t="s">
        <v>43</v>
      </c>
      <c r="L48" s="69"/>
      <c r="M48" s="69"/>
      <c r="N48" s="69"/>
      <c r="O48" s="69"/>
      <c r="P48" s="69"/>
      <c r="Q48" s="69"/>
    </row>
    <row r="49" spans="1:17" s="36" customFormat="1" ht="87" customHeight="1" x14ac:dyDescent="0.2">
      <c r="A49" s="11" t="s">
        <v>7</v>
      </c>
      <c r="B49" s="93" t="s">
        <v>265</v>
      </c>
      <c r="C49" s="93"/>
      <c r="D49" s="93"/>
      <c r="E49" s="35"/>
      <c r="F49" s="37"/>
      <c r="G49" s="37"/>
      <c r="H49" s="37"/>
      <c r="I49" s="35"/>
      <c r="Q49" s="36" t="s">
        <v>109</v>
      </c>
    </row>
  </sheetData>
  <mergeCells count="6">
    <mergeCell ref="B49:D49"/>
    <mergeCell ref="K48:Q48"/>
    <mergeCell ref="B1:D1"/>
    <mergeCell ref="F1:H1"/>
    <mergeCell ref="B2:D2"/>
    <mergeCell ref="F2:H2"/>
  </mergeCells>
  <hyperlinks>
    <hyperlink ref="B49" r:id="rId1" xr:uid="{3755FEF5-C908-AC4E-96E4-3A1416ADEC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D5BD-B5DA-1647-B2AA-221A3DD0420D}">
  <dimension ref="A1:AO48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Q15" sqref="Q15"/>
    </sheetView>
  </sheetViews>
  <sheetFormatPr baseColWidth="10" defaultRowHeight="16" x14ac:dyDescent="0.2"/>
  <cols>
    <col min="1" max="1" width="11.6640625" style="2" bestFit="1" customWidth="1"/>
    <col min="2" max="2" width="13" bestFit="1" customWidth="1"/>
    <col min="5" max="5" width="11.6640625" style="2" customWidth="1"/>
  </cols>
  <sheetData>
    <row r="1" spans="1:41" s="2" customFormat="1" ht="55" customHeight="1" x14ac:dyDescent="0.2">
      <c r="B1" s="51"/>
      <c r="C1" s="51"/>
      <c r="F1" s="54" t="s">
        <v>43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49"/>
      <c r="V1" s="50"/>
      <c r="W1" s="54" t="s">
        <v>79</v>
      </c>
      <c r="X1" s="54"/>
      <c r="Y1" s="54"/>
      <c r="Z1" s="49"/>
      <c r="AB1" s="55" t="s">
        <v>349</v>
      </c>
      <c r="AC1" s="55"/>
      <c r="AD1" s="55"/>
      <c r="AE1" s="55"/>
      <c r="AF1" s="55"/>
      <c r="AG1" s="55"/>
      <c r="AH1" s="55"/>
      <c r="AI1" s="55"/>
      <c r="AJ1" s="55"/>
      <c r="AK1" s="55"/>
      <c r="AM1" s="55" t="s">
        <v>350</v>
      </c>
      <c r="AN1" s="55"/>
    </row>
    <row r="2" spans="1:41" s="2" customFormat="1" x14ac:dyDescent="0.2">
      <c r="B2" s="2" t="s">
        <v>356</v>
      </c>
      <c r="D2" s="2" t="s">
        <v>354</v>
      </c>
      <c r="F2" s="56" t="s">
        <v>71</v>
      </c>
      <c r="G2" s="56"/>
      <c r="H2" s="56" t="s">
        <v>333</v>
      </c>
      <c r="I2" s="56"/>
      <c r="J2" s="56"/>
      <c r="K2" s="56" t="s">
        <v>334</v>
      </c>
      <c r="L2" s="56"/>
      <c r="M2" s="56"/>
      <c r="N2" s="56"/>
      <c r="O2" s="56"/>
      <c r="P2" s="56" t="s">
        <v>335</v>
      </c>
      <c r="Q2" s="56"/>
      <c r="R2" s="56" t="s">
        <v>336</v>
      </c>
      <c r="S2" s="56"/>
      <c r="T2" s="2" t="s">
        <v>337</v>
      </c>
    </row>
    <row r="3" spans="1:41" s="2" customFormat="1" x14ac:dyDescent="0.2">
      <c r="A3" s="2" t="s">
        <v>52</v>
      </c>
    </row>
    <row r="4" spans="1:41" s="2" customFormat="1" x14ac:dyDescent="0.2">
      <c r="A4" s="2" t="s">
        <v>51</v>
      </c>
      <c r="F4" s="2" t="s">
        <v>332</v>
      </c>
      <c r="G4" s="2" t="s">
        <v>331</v>
      </c>
      <c r="H4" s="2" t="s">
        <v>329</v>
      </c>
      <c r="I4" s="2" t="s">
        <v>1</v>
      </c>
      <c r="J4" s="2" t="s">
        <v>259</v>
      </c>
      <c r="K4" s="2" t="s">
        <v>345</v>
      </c>
      <c r="L4" s="2" t="s">
        <v>344</v>
      </c>
      <c r="M4" s="2" t="s">
        <v>330</v>
      </c>
      <c r="N4" s="2" t="s">
        <v>343</v>
      </c>
      <c r="O4" s="2" t="s">
        <v>259</v>
      </c>
      <c r="P4" s="2" t="s">
        <v>342</v>
      </c>
      <c r="Q4" s="2" t="s">
        <v>341</v>
      </c>
      <c r="R4" s="2" t="s">
        <v>339</v>
      </c>
      <c r="S4" s="2" t="s">
        <v>340</v>
      </c>
      <c r="T4" s="2" t="s">
        <v>338</v>
      </c>
      <c r="W4" s="2" t="s">
        <v>346</v>
      </c>
      <c r="X4" s="2" t="s">
        <v>347</v>
      </c>
      <c r="Y4" s="2" t="s">
        <v>348</v>
      </c>
      <c r="Z4" s="2" t="s">
        <v>355</v>
      </c>
      <c r="AB4" s="2" t="str">
        <f>F4</f>
        <v>Railway</v>
      </c>
      <c r="AC4" s="2" t="str">
        <f>H4</f>
        <v xml:space="preserve">Trams </v>
      </c>
      <c r="AD4" s="2" t="str">
        <f>I4</f>
        <v>Trolleybus</v>
      </c>
      <c r="AE4" s="2" t="str">
        <f>J4</f>
        <v>Buses</v>
      </c>
      <c r="AF4" s="2" t="str">
        <f>K4</f>
        <v>Cars (Swiss)</v>
      </c>
      <c r="AG4" s="2" t="str">
        <f>M4</f>
        <v>Motocycles</v>
      </c>
      <c r="AH4" s="2" t="str">
        <f>N4</f>
        <v>Medium bikes</v>
      </c>
      <c r="AI4" s="2" t="str">
        <f>O4</f>
        <v>Buses</v>
      </c>
      <c r="AJ4" s="2" t="str">
        <f>P4</f>
        <v>Bicycles</v>
      </c>
      <c r="AK4" s="2" t="str">
        <f>Q4</f>
        <v>On foot</v>
      </c>
      <c r="AM4" s="2" t="str">
        <f>AB4</f>
        <v>Railway</v>
      </c>
      <c r="AN4" s="2" t="str">
        <f>AF4</f>
        <v>Cars (Swiss)</v>
      </c>
      <c r="AO4" s="2" t="s">
        <v>351</v>
      </c>
    </row>
    <row r="5" spans="1:41" s="2" customFormat="1" ht="17" x14ac:dyDescent="0.2">
      <c r="A5" s="11" t="s">
        <v>90</v>
      </c>
      <c r="B5" s="2" t="s">
        <v>101</v>
      </c>
      <c r="E5" s="11"/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W5" s="2" t="s">
        <v>101</v>
      </c>
      <c r="X5" s="2" t="s">
        <v>101</v>
      </c>
      <c r="Y5" s="2" t="s">
        <v>101</v>
      </c>
      <c r="Z5" s="2" t="s">
        <v>101</v>
      </c>
      <c r="AB5" s="2" t="s">
        <v>101</v>
      </c>
      <c r="AC5" s="2" t="s">
        <v>101</v>
      </c>
      <c r="AD5" s="2" t="s">
        <v>101</v>
      </c>
      <c r="AE5" s="2" t="s">
        <v>101</v>
      </c>
      <c r="AF5" s="2" t="s">
        <v>101</v>
      </c>
      <c r="AG5" s="2" t="s">
        <v>101</v>
      </c>
      <c r="AH5" s="2" t="s">
        <v>101</v>
      </c>
      <c r="AI5" s="2" t="s">
        <v>101</v>
      </c>
      <c r="AJ5" s="2" t="s">
        <v>101</v>
      </c>
      <c r="AK5" s="2" t="s">
        <v>101</v>
      </c>
      <c r="AM5" s="2" t="str">
        <f>AB5</f>
        <v>Mpkm</v>
      </c>
      <c r="AN5" s="2" t="str">
        <f>AF5</f>
        <v>Mpkm</v>
      </c>
    </row>
    <row r="6" spans="1:41" x14ac:dyDescent="0.2">
      <c r="A6" s="2">
        <v>1990</v>
      </c>
      <c r="B6">
        <f t="shared" ref="B6:B37" si="0">SUM(AB6:AK6)</f>
        <v>88944.626784235763</v>
      </c>
      <c r="F6">
        <v>12678</v>
      </c>
      <c r="G6">
        <v>93</v>
      </c>
      <c r="H6" s="52">
        <f t="shared" ref="H6:J12" si="1">H7</f>
        <v>713.4</v>
      </c>
      <c r="I6" s="52">
        <f t="shared" si="1"/>
        <v>547.79999999999995</v>
      </c>
      <c r="J6" s="52">
        <f t="shared" si="1"/>
        <v>2078.8000000000002</v>
      </c>
      <c r="K6" s="52"/>
      <c r="L6" s="52"/>
      <c r="M6">
        <v>1337</v>
      </c>
      <c r="N6">
        <v>862</v>
      </c>
      <c r="O6">
        <v>2289</v>
      </c>
      <c r="P6" s="52">
        <f t="shared" ref="P6:Q8" si="2">P7</f>
        <v>2192</v>
      </c>
      <c r="Q6" s="52">
        <f t="shared" si="2"/>
        <v>3623</v>
      </c>
      <c r="R6">
        <v>17.600000000000001</v>
      </c>
      <c r="S6">
        <v>189.1</v>
      </c>
      <c r="T6" s="52">
        <f t="shared" ref="T6:T22" si="3">T7</f>
        <v>155.5</v>
      </c>
      <c r="U6">
        <f t="shared" ref="U6:U8" si="4">SUM(F6:T6)+W6</f>
        <v>100047.2</v>
      </c>
      <c r="W6">
        <v>73271</v>
      </c>
      <c r="Y6">
        <f>W6*$X$39</f>
        <v>62623.626784235756</v>
      </c>
      <c r="Z6">
        <f>W6*(1-X39)</f>
        <v>10647.373215764246</v>
      </c>
      <c r="AB6">
        <f t="shared" ref="AB6:AB37" si="5">F6</f>
        <v>12678</v>
      </c>
      <c r="AC6" s="52">
        <f t="shared" ref="AC6:AC12" si="6">AC7</f>
        <v>713.4</v>
      </c>
      <c r="AD6" s="52">
        <f t="shared" ref="AD6:AD12" si="7">AD7</f>
        <v>547.79999999999995</v>
      </c>
      <c r="AE6" s="52">
        <f t="shared" ref="AE6:AE12" si="8">AE7</f>
        <v>2078.8000000000002</v>
      </c>
      <c r="AF6" s="52">
        <f>Y6</f>
        <v>62623.626784235756</v>
      </c>
      <c r="AG6">
        <f t="shared" ref="AG6:AG37" si="9">M6</f>
        <v>1337</v>
      </c>
      <c r="AH6">
        <f t="shared" ref="AH6:AH37" si="10">N6</f>
        <v>862</v>
      </c>
      <c r="AI6">
        <f t="shared" ref="AI6:AI37" si="11">O6</f>
        <v>2289</v>
      </c>
      <c r="AJ6" s="52">
        <f t="shared" ref="AJ6:AK8" si="12">AJ7</f>
        <v>2192</v>
      </c>
      <c r="AK6" s="52">
        <f t="shared" si="12"/>
        <v>3623</v>
      </c>
    </row>
    <row r="7" spans="1:41" x14ac:dyDescent="0.2">
      <c r="A7" s="2">
        <v>1991</v>
      </c>
      <c r="B7">
        <f t="shared" si="0"/>
        <v>91274.57783244281</v>
      </c>
      <c r="F7">
        <v>13834</v>
      </c>
      <c r="G7">
        <v>95.6</v>
      </c>
      <c r="H7" s="52">
        <f t="shared" si="1"/>
        <v>713.4</v>
      </c>
      <c r="I7" s="52">
        <f t="shared" si="1"/>
        <v>547.79999999999995</v>
      </c>
      <c r="J7" s="52">
        <f t="shared" si="1"/>
        <v>2078.8000000000002</v>
      </c>
      <c r="K7" s="52"/>
      <c r="L7" s="52"/>
      <c r="M7">
        <v>1407</v>
      </c>
      <c r="N7">
        <v>723</v>
      </c>
      <c r="O7">
        <v>2273</v>
      </c>
      <c r="P7" s="52">
        <f t="shared" si="2"/>
        <v>2192</v>
      </c>
      <c r="Q7" s="52">
        <f t="shared" si="2"/>
        <v>3623</v>
      </c>
      <c r="R7">
        <v>17.899999999999999</v>
      </c>
      <c r="S7">
        <v>212.4</v>
      </c>
      <c r="T7" s="52">
        <f t="shared" si="3"/>
        <v>155.5</v>
      </c>
      <c r="U7">
        <f t="shared" si="4"/>
        <v>102617.4</v>
      </c>
      <c r="W7">
        <v>74744</v>
      </c>
      <c r="Y7">
        <f t="shared" ref="Y7:Y9" si="13">W7*$X$39</f>
        <v>63882.57783244281</v>
      </c>
      <c r="Z7">
        <f t="shared" ref="Z7:Z9" si="14">W7*(1-X40)</f>
        <v>74744</v>
      </c>
      <c r="AB7">
        <f t="shared" si="5"/>
        <v>13834</v>
      </c>
      <c r="AC7" s="52">
        <f t="shared" si="6"/>
        <v>713.4</v>
      </c>
      <c r="AD7" s="52">
        <f t="shared" si="7"/>
        <v>547.79999999999995</v>
      </c>
      <c r="AE7" s="52">
        <f t="shared" si="8"/>
        <v>2078.8000000000002</v>
      </c>
      <c r="AF7" s="52">
        <f t="shared" ref="AF7:AF9" si="15">Y7</f>
        <v>63882.57783244281</v>
      </c>
      <c r="AG7">
        <f t="shared" si="9"/>
        <v>1407</v>
      </c>
      <c r="AH7">
        <f t="shared" si="10"/>
        <v>723</v>
      </c>
      <c r="AI7">
        <f t="shared" si="11"/>
        <v>2273</v>
      </c>
      <c r="AJ7" s="52">
        <f t="shared" si="12"/>
        <v>2192</v>
      </c>
      <c r="AK7" s="52">
        <f t="shared" si="12"/>
        <v>3623</v>
      </c>
    </row>
    <row r="8" spans="1:41" x14ac:dyDescent="0.2">
      <c r="A8" s="2">
        <v>1992</v>
      </c>
      <c r="B8">
        <f t="shared" si="0"/>
        <v>89435.949972198359</v>
      </c>
      <c r="F8">
        <v>13209</v>
      </c>
      <c r="G8">
        <v>101.4</v>
      </c>
      <c r="H8" s="52">
        <f t="shared" si="1"/>
        <v>713.4</v>
      </c>
      <c r="I8" s="52">
        <f t="shared" si="1"/>
        <v>547.79999999999995</v>
      </c>
      <c r="J8" s="52">
        <f t="shared" si="1"/>
        <v>2078.8000000000002</v>
      </c>
      <c r="K8" s="52"/>
      <c r="L8" s="52"/>
      <c r="M8">
        <v>1457</v>
      </c>
      <c r="N8">
        <v>599</v>
      </c>
      <c r="O8">
        <v>2306</v>
      </c>
      <c r="P8" s="52">
        <f t="shared" si="2"/>
        <v>2192</v>
      </c>
      <c r="Q8" s="52">
        <f t="shared" si="2"/>
        <v>3623</v>
      </c>
      <c r="R8">
        <v>17.8</v>
      </c>
      <c r="S8">
        <v>242.3</v>
      </c>
      <c r="T8" s="52">
        <f t="shared" si="3"/>
        <v>155.5</v>
      </c>
      <c r="U8">
        <f t="shared" si="4"/>
        <v>100615</v>
      </c>
      <c r="W8">
        <v>73372</v>
      </c>
      <c r="Y8">
        <f t="shared" si="13"/>
        <v>62709.949972198359</v>
      </c>
      <c r="Z8">
        <f t="shared" si="14"/>
        <v>73343.883915401937</v>
      </c>
      <c r="AB8">
        <f t="shared" si="5"/>
        <v>13209</v>
      </c>
      <c r="AC8" s="52">
        <f t="shared" si="6"/>
        <v>713.4</v>
      </c>
      <c r="AD8" s="52">
        <f t="shared" si="7"/>
        <v>547.79999999999995</v>
      </c>
      <c r="AE8" s="52">
        <f t="shared" si="8"/>
        <v>2078.8000000000002</v>
      </c>
      <c r="AF8" s="52">
        <f t="shared" si="15"/>
        <v>62709.949972198359</v>
      </c>
      <c r="AG8">
        <f t="shared" si="9"/>
        <v>1457</v>
      </c>
      <c r="AH8">
        <f t="shared" si="10"/>
        <v>599</v>
      </c>
      <c r="AI8">
        <f t="shared" si="11"/>
        <v>2306</v>
      </c>
      <c r="AJ8" s="52">
        <f t="shared" si="12"/>
        <v>2192</v>
      </c>
      <c r="AK8" s="52">
        <f t="shared" si="12"/>
        <v>3623</v>
      </c>
    </row>
    <row r="9" spans="1:41" x14ac:dyDescent="0.2">
      <c r="A9" s="2">
        <v>1993</v>
      </c>
      <c r="B9">
        <f t="shared" si="0"/>
        <v>87864.040739852935</v>
      </c>
      <c r="F9">
        <v>13384</v>
      </c>
      <c r="G9">
        <v>104.6</v>
      </c>
      <c r="H9" s="52">
        <f t="shared" si="1"/>
        <v>713.4</v>
      </c>
      <c r="I9" s="52">
        <f t="shared" si="1"/>
        <v>547.79999999999995</v>
      </c>
      <c r="J9" s="52">
        <f t="shared" si="1"/>
        <v>2078.8000000000002</v>
      </c>
      <c r="K9" s="52"/>
      <c r="L9" s="52"/>
      <c r="M9">
        <v>1479</v>
      </c>
      <c r="N9">
        <v>506</v>
      </c>
      <c r="O9">
        <v>2301</v>
      </c>
      <c r="P9" s="52">
        <f>P10</f>
        <v>2192</v>
      </c>
      <c r="Q9" s="52">
        <f>Q10</f>
        <v>3623</v>
      </c>
      <c r="R9">
        <v>17.600000000000001</v>
      </c>
      <c r="S9">
        <v>226.2</v>
      </c>
      <c r="T9" s="52">
        <f t="shared" si="3"/>
        <v>155.5</v>
      </c>
      <c r="U9">
        <f>SUM(F9:T9)+W9</f>
        <v>98745.9</v>
      </c>
      <c r="W9">
        <v>71417</v>
      </c>
      <c r="Y9">
        <f t="shared" si="13"/>
        <v>61039.040739852942</v>
      </c>
      <c r="Z9">
        <f t="shared" si="14"/>
        <v>70018.978517724885</v>
      </c>
      <c r="AB9">
        <f t="shared" si="5"/>
        <v>13384</v>
      </c>
      <c r="AC9" s="52">
        <f t="shared" si="6"/>
        <v>713.4</v>
      </c>
      <c r="AD9" s="52">
        <f t="shared" si="7"/>
        <v>547.79999999999995</v>
      </c>
      <c r="AE9" s="52">
        <f t="shared" si="8"/>
        <v>2078.8000000000002</v>
      </c>
      <c r="AF9" s="52">
        <f t="shared" si="15"/>
        <v>61039.040739852942</v>
      </c>
      <c r="AG9">
        <f t="shared" si="9"/>
        <v>1479</v>
      </c>
      <c r="AH9">
        <f t="shared" si="10"/>
        <v>506</v>
      </c>
      <c r="AI9">
        <f t="shared" si="11"/>
        <v>2301</v>
      </c>
      <c r="AJ9" s="52">
        <f>AJ10</f>
        <v>2192</v>
      </c>
      <c r="AK9" s="52">
        <f>AK10</f>
        <v>3623</v>
      </c>
    </row>
    <row r="10" spans="1:41" x14ac:dyDescent="0.2">
      <c r="A10" s="2">
        <v>1994</v>
      </c>
      <c r="B10">
        <f t="shared" si="0"/>
        <v>85218.537490088769</v>
      </c>
      <c r="F10">
        <v>13836</v>
      </c>
      <c r="G10">
        <v>94.9</v>
      </c>
      <c r="H10" s="52">
        <f t="shared" si="1"/>
        <v>713.4</v>
      </c>
      <c r="I10" s="52">
        <f t="shared" si="1"/>
        <v>547.79999999999995</v>
      </c>
      <c r="J10" s="52">
        <f t="shared" si="1"/>
        <v>2078.8000000000002</v>
      </c>
      <c r="K10">
        <v>58043.6083372024</v>
      </c>
      <c r="L10">
        <v>10314</v>
      </c>
      <c r="M10">
        <v>1483.2291528863677</v>
      </c>
      <c r="N10">
        <v>377.7</v>
      </c>
      <c r="O10">
        <v>2323</v>
      </c>
      <c r="P10">
        <v>2192</v>
      </c>
      <c r="Q10">
        <v>3623</v>
      </c>
      <c r="R10">
        <v>17.2</v>
      </c>
      <c r="S10">
        <v>224.2</v>
      </c>
      <c r="T10" s="52">
        <f t="shared" si="3"/>
        <v>155.5</v>
      </c>
      <c r="U10">
        <f t="shared" ref="U10:U23" si="16">SUM(F10:T10)</f>
        <v>96024.337490088757</v>
      </c>
      <c r="W10">
        <f>SUM(K10:L10)</f>
        <v>68357.6083372024</v>
      </c>
      <c r="X10">
        <f t="shared" ref="X10:X37" si="17">K10/W10</f>
        <v>0.84911701490312685</v>
      </c>
      <c r="AB10">
        <f t="shared" si="5"/>
        <v>13836</v>
      </c>
      <c r="AC10" s="52">
        <f t="shared" si="6"/>
        <v>713.4</v>
      </c>
      <c r="AD10" s="52">
        <f t="shared" si="7"/>
        <v>547.79999999999995</v>
      </c>
      <c r="AE10" s="52">
        <f t="shared" si="8"/>
        <v>2078.8000000000002</v>
      </c>
      <c r="AF10">
        <f>K10</f>
        <v>58043.6083372024</v>
      </c>
      <c r="AG10">
        <f t="shared" si="9"/>
        <v>1483.2291528863677</v>
      </c>
      <c r="AH10">
        <f t="shared" si="10"/>
        <v>377.7</v>
      </c>
      <c r="AI10">
        <f t="shared" si="11"/>
        <v>2323</v>
      </c>
      <c r="AJ10">
        <f t="shared" ref="AJ10:AJ37" si="18">P10</f>
        <v>2192</v>
      </c>
      <c r="AK10">
        <f t="shared" ref="AK10:AK37" si="19">Q10</f>
        <v>3623</v>
      </c>
    </row>
    <row r="11" spans="1:41" x14ac:dyDescent="0.2">
      <c r="A11" s="2">
        <v>1995</v>
      </c>
      <c r="B11">
        <f t="shared" si="0"/>
        <v>84447.911635763186</v>
      </c>
      <c r="F11">
        <v>11713</v>
      </c>
      <c r="G11">
        <v>90.1</v>
      </c>
      <c r="H11" s="52">
        <f t="shared" si="1"/>
        <v>713.4</v>
      </c>
      <c r="I11" s="52">
        <f t="shared" si="1"/>
        <v>547.79999999999995</v>
      </c>
      <c r="J11" s="52">
        <f t="shared" si="1"/>
        <v>2078.8000000000002</v>
      </c>
      <c r="K11">
        <v>59265.188031770107</v>
      </c>
      <c r="L11">
        <v>10320</v>
      </c>
      <c r="M11">
        <v>1512.1236039930675</v>
      </c>
      <c r="N11">
        <v>354.6</v>
      </c>
      <c r="O11">
        <v>2327</v>
      </c>
      <c r="P11">
        <v>2217</v>
      </c>
      <c r="Q11">
        <v>3719</v>
      </c>
      <c r="R11">
        <v>16.899999999999999</v>
      </c>
      <c r="S11">
        <v>233.1</v>
      </c>
      <c r="T11" s="52">
        <f t="shared" si="3"/>
        <v>155.5</v>
      </c>
      <c r="U11">
        <f t="shared" si="16"/>
        <v>95263.511635763178</v>
      </c>
      <c r="W11">
        <f t="shared" ref="W11:W37" si="20">SUM(K11:L11)</f>
        <v>69585.188031770114</v>
      </c>
      <c r="X11">
        <f t="shared" si="17"/>
        <v>0.85169257579230417</v>
      </c>
      <c r="AB11">
        <f t="shared" si="5"/>
        <v>11713</v>
      </c>
      <c r="AC11" s="52">
        <f t="shared" si="6"/>
        <v>713.4</v>
      </c>
      <c r="AD11" s="52">
        <f t="shared" si="7"/>
        <v>547.79999999999995</v>
      </c>
      <c r="AE11" s="52">
        <f t="shared" si="8"/>
        <v>2078.8000000000002</v>
      </c>
      <c r="AF11">
        <f t="shared" ref="AF11:AF37" si="21">K11</f>
        <v>59265.188031770107</v>
      </c>
      <c r="AG11">
        <f t="shared" si="9"/>
        <v>1512.1236039930675</v>
      </c>
      <c r="AH11">
        <f t="shared" si="10"/>
        <v>354.6</v>
      </c>
      <c r="AI11">
        <f t="shared" si="11"/>
        <v>2327</v>
      </c>
      <c r="AJ11">
        <f t="shared" si="18"/>
        <v>2217</v>
      </c>
      <c r="AK11">
        <f t="shared" si="19"/>
        <v>3719</v>
      </c>
    </row>
    <row r="12" spans="1:41" x14ac:dyDescent="0.2">
      <c r="A12" s="2">
        <v>1996</v>
      </c>
      <c r="B12">
        <f t="shared" si="0"/>
        <v>85897.747851711771</v>
      </c>
      <c r="F12">
        <v>11890</v>
      </c>
      <c r="G12">
        <v>83.9</v>
      </c>
      <c r="H12" s="52">
        <f t="shared" si="1"/>
        <v>713.4</v>
      </c>
      <c r="I12" s="52">
        <f t="shared" si="1"/>
        <v>547.79999999999995</v>
      </c>
      <c r="J12" s="52">
        <f t="shared" si="1"/>
        <v>2078.8000000000002</v>
      </c>
      <c r="K12">
        <v>60447.570082292601</v>
      </c>
      <c r="L12">
        <v>10327</v>
      </c>
      <c r="M12">
        <v>1530.3777694191672</v>
      </c>
      <c r="N12">
        <v>333.8</v>
      </c>
      <c r="O12">
        <v>2304</v>
      </c>
      <c r="P12">
        <v>2239</v>
      </c>
      <c r="Q12">
        <v>3813</v>
      </c>
      <c r="R12">
        <v>16.2</v>
      </c>
      <c r="S12">
        <v>249.2</v>
      </c>
      <c r="T12" s="52">
        <f t="shared" si="3"/>
        <v>155.5</v>
      </c>
      <c r="U12">
        <f t="shared" si="16"/>
        <v>96729.547851711759</v>
      </c>
      <c r="W12">
        <f t="shared" si="20"/>
        <v>70774.570082292601</v>
      </c>
      <c r="X12">
        <f t="shared" si="17"/>
        <v>0.85408600874590468</v>
      </c>
      <c r="AB12">
        <f t="shared" si="5"/>
        <v>11890</v>
      </c>
      <c r="AC12" s="52">
        <f t="shared" si="6"/>
        <v>713.4</v>
      </c>
      <c r="AD12" s="52">
        <f t="shared" si="7"/>
        <v>547.79999999999995</v>
      </c>
      <c r="AE12" s="52">
        <f t="shared" si="8"/>
        <v>2078.8000000000002</v>
      </c>
      <c r="AF12">
        <f t="shared" si="21"/>
        <v>60447.570082292601</v>
      </c>
      <c r="AG12">
        <f t="shared" si="9"/>
        <v>1530.3777694191672</v>
      </c>
      <c r="AH12">
        <f t="shared" si="10"/>
        <v>333.8</v>
      </c>
      <c r="AI12">
        <f t="shared" si="11"/>
        <v>2304</v>
      </c>
      <c r="AJ12">
        <f t="shared" si="18"/>
        <v>2239</v>
      </c>
      <c r="AK12">
        <f t="shared" si="19"/>
        <v>3813</v>
      </c>
    </row>
    <row r="13" spans="1:41" x14ac:dyDescent="0.2">
      <c r="A13" s="2">
        <v>1997</v>
      </c>
      <c r="B13">
        <f t="shared" si="0"/>
        <v>87192.740304778476</v>
      </c>
      <c r="F13">
        <v>12051</v>
      </c>
      <c r="G13">
        <v>88.1</v>
      </c>
      <c r="H13" s="52">
        <f>H14</f>
        <v>713.4</v>
      </c>
      <c r="I13" s="52">
        <f>I14</f>
        <v>547.79999999999995</v>
      </c>
      <c r="J13" s="52">
        <f>J14</f>
        <v>2078.8000000000002</v>
      </c>
      <c r="K13">
        <v>61441.0235796466</v>
      </c>
      <c r="L13">
        <v>9965</v>
      </c>
      <c r="M13">
        <v>1615.7167251318683</v>
      </c>
      <c r="N13">
        <v>309</v>
      </c>
      <c r="O13">
        <v>2287</v>
      </c>
      <c r="P13">
        <v>2250</v>
      </c>
      <c r="Q13">
        <v>3899</v>
      </c>
      <c r="R13">
        <v>16.2</v>
      </c>
      <c r="S13">
        <v>261.2</v>
      </c>
      <c r="T13" s="52">
        <f t="shared" si="3"/>
        <v>155.5</v>
      </c>
      <c r="U13">
        <f t="shared" si="16"/>
        <v>97678.740304778476</v>
      </c>
      <c r="W13">
        <f t="shared" si="20"/>
        <v>71406.0235796466</v>
      </c>
      <c r="X13">
        <f t="shared" si="17"/>
        <v>0.86044594698814181</v>
      </c>
      <c r="AB13">
        <f t="shared" si="5"/>
        <v>12051</v>
      </c>
      <c r="AC13" s="52">
        <f>AC14</f>
        <v>713.4</v>
      </c>
      <c r="AD13" s="52">
        <f>AD14</f>
        <v>547.79999999999995</v>
      </c>
      <c r="AE13" s="52">
        <f>AE14</f>
        <v>2078.8000000000002</v>
      </c>
      <c r="AF13">
        <f t="shared" si="21"/>
        <v>61441.0235796466</v>
      </c>
      <c r="AG13">
        <f t="shared" si="9"/>
        <v>1615.7167251318683</v>
      </c>
      <c r="AH13">
        <f t="shared" si="10"/>
        <v>309</v>
      </c>
      <c r="AI13">
        <f t="shared" si="11"/>
        <v>2287</v>
      </c>
      <c r="AJ13">
        <f t="shared" si="18"/>
        <v>2250</v>
      </c>
      <c r="AK13">
        <f t="shared" si="19"/>
        <v>3899</v>
      </c>
    </row>
    <row r="14" spans="1:41" x14ac:dyDescent="0.2">
      <c r="A14" s="2">
        <v>1998</v>
      </c>
      <c r="B14">
        <f t="shared" si="0"/>
        <v>88331.92140097935</v>
      </c>
      <c r="F14">
        <v>12148</v>
      </c>
      <c r="G14">
        <v>81.599999999999994</v>
      </c>
      <c r="H14">
        <v>713.4</v>
      </c>
      <c r="I14">
        <v>547.79999999999995</v>
      </c>
      <c r="J14">
        <v>2078.8000000000002</v>
      </c>
      <c r="K14">
        <v>62492.746027166097</v>
      </c>
      <c r="L14">
        <v>10047</v>
      </c>
      <c r="M14">
        <v>1679.5753738132439</v>
      </c>
      <c r="N14">
        <v>290.60000000000002</v>
      </c>
      <c r="O14">
        <v>2129</v>
      </c>
      <c r="P14">
        <v>2265</v>
      </c>
      <c r="Q14">
        <v>3987</v>
      </c>
      <c r="R14">
        <v>16.7</v>
      </c>
      <c r="S14">
        <v>273.8</v>
      </c>
      <c r="T14" s="52">
        <f t="shared" si="3"/>
        <v>155.5</v>
      </c>
      <c r="U14">
        <f t="shared" si="16"/>
        <v>98906.521400979342</v>
      </c>
      <c r="W14">
        <f t="shared" si="20"/>
        <v>72539.746027166097</v>
      </c>
      <c r="X14">
        <f t="shared" si="17"/>
        <v>0.86149662012550465</v>
      </c>
      <c r="AB14">
        <f t="shared" si="5"/>
        <v>12148</v>
      </c>
      <c r="AC14">
        <f t="shared" ref="AC14:AC37" si="22">H14</f>
        <v>713.4</v>
      </c>
      <c r="AD14">
        <f t="shared" ref="AD14:AD37" si="23">I14</f>
        <v>547.79999999999995</v>
      </c>
      <c r="AE14">
        <f t="shared" ref="AE14:AE37" si="24">J14</f>
        <v>2078.8000000000002</v>
      </c>
      <c r="AF14">
        <f t="shared" si="21"/>
        <v>62492.746027166097</v>
      </c>
      <c r="AG14">
        <f t="shared" si="9"/>
        <v>1679.5753738132439</v>
      </c>
      <c r="AH14">
        <f t="shared" si="10"/>
        <v>290.60000000000002</v>
      </c>
      <c r="AI14">
        <f t="shared" si="11"/>
        <v>2129</v>
      </c>
      <c r="AJ14">
        <f t="shared" si="18"/>
        <v>2265</v>
      </c>
      <c r="AK14">
        <f t="shared" si="19"/>
        <v>3987</v>
      </c>
    </row>
    <row r="15" spans="1:41" x14ac:dyDescent="0.2">
      <c r="A15" s="2">
        <v>1999</v>
      </c>
      <c r="B15">
        <f t="shared" si="0"/>
        <v>90046.940410449432</v>
      </c>
      <c r="F15">
        <v>12501</v>
      </c>
      <c r="G15">
        <v>78</v>
      </c>
      <c r="H15">
        <v>716.5</v>
      </c>
      <c r="I15">
        <v>529.20000000000005</v>
      </c>
      <c r="J15">
        <v>2126.9</v>
      </c>
      <c r="K15">
        <v>63706.848630624299</v>
      </c>
      <c r="L15">
        <v>9825</v>
      </c>
      <c r="M15">
        <v>1758.8917798251225</v>
      </c>
      <c r="N15">
        <v>267.60000000000002</v>
      </c>
      <c r="O15">
        <v>2069</v>
      </c>
      <c r="P15">
        <v>2287</v>
      </c>
      <c r="Q15">
        <v>4084</v>
      </c>
      <c r="R15">
        <v>16.100000000000001</v>
      </c>
      <c r="S15">
        <v>256.7</v>
      </c>
      <c r="T15" s="52">
        <f t="shared" si="3"/>
        <v>155.5</v>
      </c>
      <c r="U15">
        <f t="shared" si="16"/>
        <v>100378.24041044943</v>
      </c>
      <c r="W15">
        <f t="shared" si="20"/>
        <v>73531.848630624299</v>
      </c>
      <c r="X15">
        <f t="shared" si="17"/>
        <v>0.86638442820396988</v>
      </c>
      <c r="AB15">
        <f t="shared" si="5"/>
        <v>12501</v>
      </c>
      <c r="AC15">
        <f t="shared" si="22"/>
        <v>716.5</v>
      </c>
      <c r="AD15">
        <f t="shared" si="23"/>
        <v>529.20000000000005</v>
      </c>
      <c r="AE15">
        <f t="shared" si="24"/>
        <v>2126.9</v>
      </c>
      <c r="AF15">
        <f t="shared" si="21"/>
        <v>63706.848630624299</v>
      </c>
      <c r="AG15">
        <f t="shared" si="9"/>
        <v>1758.8917798251225</v>
      </c>
      <c r="AH15">
        <f t="shared" si="10"/>
        <v>267.60000000000002</v>
      </c>
      <c r="AI15">
        <f t="shared" si="11"/>
        <v>2069</v>
      </c>
      <c r="AJ15">
        <f t="shared" si="18"/>
        <v>2287</v>
      </c>
      <c r="AK15">
        <f t="shared" si="19"/>
        <v>4084</v>
      </c>
    </row>
    <row r="16" spans="1:41" x14ac:dyDescent="0.2">
      <c r="A16" s="2">
        <v>2000</v>
      </c>
      <c r="B16">
        <f t="shared" si="0"/>
        <v>91775.679896854286</v>
      </c>
      <c r="F16">
        <v>12620</v>
      </c>
      <c r="G16">
        <v>69.3</v>
      </c>
      <c r="H16">
        <v>716.2</v>
      </c>
      <c r="I16">
        <v>528.29999999999995</v>
      </c>
      <c r="J16">
        <v>2183.4</v>
      </c>
      <c r="K16">
        <v>65067.872887846504</v>
      </c>
      <c r="L16">
        <v>9916</v>
      </c>
      <c r="M16">
        <v>1834.3070090077838</v>
      </c>
      <c r="N16">
        <v>236.6</v>
      </c>
      <c r="O16">
        <v>2087</v>
      </c>
      <c r="P16">
        <v>2314</v>
      </c>
      <c r="Q16">
        <v>4188</v>
      </c>
      <c r="R16">
        <v>16.600000000000001</v>
      </c>
      <c r="S16">
        <v>285.2</v>
      </c>
      <c r="T16" s="52">
        <f t="shared" si="3"/>
        <v>155.5</v>
      </c>
      <c r="U16">
        <f t="shared" si="16"/>
        <v>102218.27989685429</v>
      </c>
      <c r="W16">
        <f t="shared" si="20"/>
        <v>74983.872887846504</v>
      </c>
      <c r="X16">
        <f t="shared" si="17"/>
        <v>0.86775823096212468</v>
      </c>
      <c r="AB16">
        <f t="shared" si="5"/>
        <v>12620</v>
      </c>
      <c r="AC16">
        <f t="shared" si="22"/>
        <v>716.2</v>
      </c>
      <c r="AD16">
        <f t="shared" si="23"/>
        <v>528.29999999999995</v>
      </c>
      <c r="AE16">
        <f t="shared" si="24"/>
        <v>2183.4</v>
      </c>
      <c r="AF16">
        <f t="shared" si="21"/>
        <v>65067.872887846504</v>
      </c>
      <c r="AG16">
        <f t="shared" si="9"/>
        <v>1834.3070090077838</v>
      </c>
      <c r="AH16">
        <f t="shared" si="10"/>
        <v>236.6</v>
      </c>
      <c r="AI16">
        <f t="shared" si="11"/>
        <v>2087</v>
      </c>
      <c r="AJ16">
        <f t="shared" si="18"/>
        <v>2314</v>
      </c>
      <c r="AK16">
        <f t="shared" si="19"/>
        <v>4188</v>
      </c>
    </row>
    <row r="17" spans="1:41" x14ac:dyDescent="0.2">
      <c r="A17" s="2">
        <v>2001</v>
      </c>
      <c r="B17">
        <f t="shared" si="0"/>
        <v>93357.856460176175</v>
      </c>
      <c r="F17">
        <v>13301</v>
      </c>
      <c r="G17">
        <v>62.3</v>
      </c>
      <c r="H17">
        <v>766.7</v>
      </c>
      <c r="I17">
        <v>526.70000000000005</v>
      </c>
      <c r="J17">
        <v>2311.6</v>
      </c>
      <c r="K17">
        <v>65743.246848426497</v>
      </c>
      <c r="L17">
        <v>9750</v>
      </c>
      <c r="M17">
        <v>1865.1096117496725</v>
      </c>
      <c r="N17">
        <v>205.5</v>
      </c>
      <c r="O17">
        <v>2010</v>
      </c>
      <c r="P17">
        <v>2241</v>
      </c>
      <c r="Q17">
        <v>4387</v>
      </c>
      <c r="R17">
        <v>16.3</v>
      </c>
      <c r="S17">
        <v>279.8</v>
      </c>
      <c r="T17" s="52">
        <f t="shared" si="3"/>
        <v>155.5</v>
      </c>
      <c r="U17">
        <f t="shared" si="16"/>
        <v>103621.75646017618</v>
      </c>
      <c r="W17">
        <f t="shared" si="20"/>
        <v>75493.246848426497</v>
      </c>
      <c r="X17">
        <f t="shared" si="17"/>
        <v>0.87084937518218264</v>
      </c>
      <c r="AB17">
        <f t="shared" si="5"/>
        <v>13301</v>
      </c>
      <c r="AC17">
        <f t="shared" si="22"/>
        <v>766.7</v>
      </c>
      <c r="AD17">
        <f t="shared" si="23"/>
        <v>526.70000000000005</v>
      </c>
      <c r="AE17">
        <f t="shared" si="24"/>
        <v>2311.6</v>
      </c>
      <c r="AF17">
        <f t="shared" si="21"/>
        <v>65743.246848426497</v>
      </c>
      <c r="AG17">
        <f t="shared" si="9"/>
        <v>1865.1096117496725</v>
      </c>
      <c r="AH17">
        <f t="shared" si="10"/>
        <v>205.5</v>
      </c>
      <c r="AI17">
        <f t="shared" si="11"/>
        <v>2010</v>
      </c>
      <c r="AJ17">
        <f t="shared" si="18"/>
        <v>2241</v>
      </c>
      <c r="AK17">
        <f t="shared" si="19"/>
        <v>4387</v>
      </c>
    </row>
    <row r="18" spans="1:41" x14ac:dyDescent="0.2">
      <c r="A18" s="2">
        <v>2002</v>
      </c>
      <c r="B18">
        <f t="shared" si="0"/>
        <v>95328.817727579299</v>
      </c>
      <c r="F18">
        <v>14147</v>
      </c>
      <c r="G18">
        <v>61.2</v>
      </c>
      <c r="H18">
        <v>772.6</v>
      </c>
      <c r="I18">
        <v>528.1</v>
      </c>
      <c r="J18">
        <v>2364.8000000000002</v>
      </c>
      <c r="K18">
        <v>66709.305627038004</v>
      </c>
      <c r="L18">
        <v>9660</v>
      </c>
      <c r="M18">
        <v>1876.2121005412862</v>
      </c>
      <c r="N18">
        <v>183.8</v>
      </c>
      <c r="O18">
        <v>1968</v>
      </c>
      <c r="P18">
        <v>2174</v>
      </c>
      <c r="Q18">
        <v>4605</v>
      </c>
      <c r="R18">
        <v>16.600000000000001</v>
      </c>
      <c r="S18">
        <v>292</v>
      </c>
      <c r="T18" s="52">
        <f t="shared" si="3"/>
        <v>155.5</v>
      </c>
      <c r="U18">
        <f t="shared" si="16"/>
        <v>105514.1177275793</v>
      </c>
      <c r="W18">
        <f t="shared" si="20"/>
        <v>76369.305627038004</v>
      </c>
      <c r="X18">
        <f t="shared" si="17"/>
        <v>0.87350939070762024</v>
      </c>
      <c r="AB18">
        <f t="shared" si="5"/>
        <v>14147</v>
      </c>
      <c r="AC18">
        <f t="shared" si="22"/>
        <v>772.6</v>
      </c>
      <c r="AD18">
        <f t="shared" si="23"/>
        <v>528.1</v>
      </c>
      <c r="AE18">
        <f t="shared" si="24"/>
        <v>2364.8000000000002</v>
      </c>
      <c r="AF18">
        <f t="shared" si="21"/>
        <v>66709.305627038004</v>
      </c>
      <c r="AG18">
        <f t="shared" si="9"/>
        <v>1876.2121005412862</v>
      </c>
      <c r="AH18">
        <f t="shared" si="10"/>
        <v>183.8</v>
      </c>
      <c r="AI18">
        <f t="shared" si="11"/>
        <v>1968</v>
      </c>
      <c r="AJ18">
        <f t="shared" si="18"/>
        <v>2174</v>
      </c>
      <c r="AK18">
        <f t="shared" si="19"/>
        <v>4605</v>
      </c>
    </row>
    <row r="19" spans="1:41" x14ac:dyDescent="0.2">
      <c r="A19" s="2">
        <v>2003</v>
      </c>
      <c r="B19">
        <f t="shared" si="0"/>
        <v>96645.850157534835</v>
      </c>
      <c r="F19">
        <v>14509</v>
      </c>
      <c r="G19">
        <v>62.6</v>
      </c>
      <c r="H19">
        <v>779.1</v>
      </c>
      <c r="I19">
        <v>519.29999999999995</v>
      </c>
      <c r="J19">
        <v>2457.9</v>
      </c>
      <c r="K19">
        <v>67394.129366393405</v>
      </c>
      <c r="L19">
        <v>9606</v>
      </c>
      <c r="M19">
        <v>1877.1207911414299</v>
      </c>
      <c r="N19">
        <v>162.30000000000001</v>
      </c>
      <c r="O19">
        <v>2017</v>
      </c>
      <c r="P19">
        <v>2107</v>
      </c>
      <c r="Q19">
        <v>4823</v>
      </c>
      <c r="R19">
        <v>16.7</v>
      </c>
      <c r="S19">
        <v>320</v>
      </c>
      <c r="T19" s="52">
        <f t="shared" si="3"/>
        <v>155.5</v>
      </c>
      <c r="U19">
        <f t="shared" si="16"/>
        <v>106806.65015753482</v>
      </c>
      <c r="W19">
        <f t="shared" si="20"/>
        <v>77000.129366393405</v>
      </c>
      <c r="X19">
        <f t="shared" si="17"/>
        <v>0.87524696284221404</v>
      </c>
      <c r="AB19">
        <f t="shared" si="5"/>
        <v>14509</v>
      </c>
      <c r="AC19">
        <f t="shared" si="22"/>
        <v>779.1</v>
      </c>
      <c r="AD19">
        <f t="shared" si="23"/>
        <v>519.29999999999995</v>
      </c>
      <c r="AE19">
        <f t="shared" si="24"/>
        <v>2457.9</v>
      </c>
      <c r="AF19">
        <f t="shared" si="21"/>
        <v>67394.129366393405</v>
      </c>
      <c r="AG19">
        <f t="shared" si="9"/>
        <v>1877.1207911414299</v>
      </c>
      <c r="AH19">
        <f t="shared" si="10"/>
        <v>162.30000000000001</v>
      </c>
      <c r="AI19">
        <f t="shared" si="11"/>
        <v>2017</v>
      </c>
      <c r="AJ19">
        <f t="shared" si="18"/>
        <v>2107</v>
      </c>
      <c r="AK19">
        <f t="shared" si="19"/>
        <v>4823</v>
      </c>
    </row>
    <row r="20" spans="1:41" x14ac:dyDescent="0.2">
      <c r="A20" s="2">
        <v>2004</v>
      </c>
      <c r="B20">
        <f t="shared" si="0"/>
        <v>97813.772004536062</v>
      </c>
      <c r="F20">
        <v>14914</v>
      </c>
      <c r="G20">
        <v>64.3</v>
      </c>
      <c r="H20">
        <v>788.8</v>
      </c>
      <c r="I20">
        <v>534.79999999999995</v>
      </c>
      <c r="J20">
        <v>2456.9</v>
      </c>
      <c r="K20">
        <v>67984.3553895324</v>
      </c>
      <c r="L20">
        <v>9756</v>
      </c>
      <c r="M20">
        <v>1852.5166150036675</v>
      </c>
      <c r="N20">
        <v>146.4</v>
      </c>
      <c r="O20">
        <v>2066</v>
      </c>
      <c r="P20">
        <v>2033</v>
      </c>
      <c r="Q20">
        <v>5037</v>
      </c>
      <c r="R20">
        <v>16.399999999999999</v>
      </c>
      <c r="S20">
        <v>308.10000000000002</v>
      </c>
      <c r="T20" s="52">
        <f t="shared" si="3"/>
        <v>155.5</v>
      </c>
      <c r="U20">
        <f t="shared" si="16"/>
        <v>108114.07200453606</v>
      </c>
      <c r="W20">
        <f t="shared" si="20"/>
        <v>77740.3553895324</v>
      </c>
      <c r="X20">
        <f t="shared" si="17"/>
        <v>0.87450533315527357</v>
      </c>
      <c r="AB20">
        <f t="shared" si="5"/>
        <v>14914</v>
      </c>
      <c r="AC20">
        <f t="shared" si="22"/>
        <v>788.8</v>
      </c>
      <c r="AD20">
        <f t="shared" si="23"/>
        <v>534.79999999999995</v>
      </c>
      <c r="AE20">
        <f t="shared" si="24"/>
        <v>2456.9</v>
      </c>
      <c r="AF20">
        <f t="shared" si="21"/>
        <v>67984.3553895324</v>
      </c>
      <c r="AG20">
        <f t="shared" si="9"/>
        <v>1852.5166150036675</v>
      </c>
      <c r="AH20">
        <f t="shared" si="10"/>
        <v>146.4</v>
      </c>
      <c r="AI20">
        <f t="shared" si="11"/>
        <v>2066</v>
      </c>
      <c r="AJ20">
        <f t="shared" si="18"/>
        <v>2033</v>
      </c>
      <c r="AK20">
        <f t="shared" si="19"/>
        <v>5037</v>
      </c>
    </row>
    <row r="21" spans="1:41" x14ac:dyDescent="0.2">
      <c r="A21" s="2">
        <v>2005</v>
      </c>
      <c r="B21">
        <f t="shared" si="0"/>
        <v>99416.345118422338</v>
      </c>
      <c r="F21">
        <v>16143.9</v>
      </c>
      <c r="G21">
        <v>65.900000000000006</v>
      </c>
      <c r="H21">
        <v>781.5</v>
      </c>
      <c r="I21">
        <v>534.20000000000005</v>
      </c>
      <c r="J21">
        <v>2542.3000000000002</v>
      </c>
      <c r="K21">
        <v>68033.137914884093</v>
      </c>
      <c r="L21">
        <v>9811</v>
      </c>
      <c r="M21">
        <v>1804.407203538246</v>
      </c>
      <c r="N21">
        <v>130.9</v>
      </c>
      <c r="O21">
        <v>2235</v>
      </c>
      <c r="P21">
        <v>1957</v>
      </c>
      <c r="Q21">
        <v>5254</v>
      </c>
      <c r="R21">
        <v>17</v>
      </c>
      <c r="S21">
        <v>312.5</v>
      </c>
      <c r="T21" s="52">
        <f t="shared" si="3"/>
        <v>155.5</v>
      </c>
      <c r="U21">
        <f t="shared" si="16"/>
        <v>109778.24511842233</v>
      </c>
      <c r="W21">
        <f t="shared" si="20"/>
        <v>77844.137914884093</v>
      </c>
      <c r="X21">
        <f t="shared" si="17"/>
        <v>0.87396610377100603</v>
      </c>
      <c r="AB21">
        <f t="shared" si="5"/>
        <v>16143.9</v>
      </c>
      <c r="AC21">
        <f t="shared" si="22"/>
        <v>781.5</v>
      </c>
      <c r="AD21">
        <f t="shared" si="23"/>
        <v>534.20000000000005</v>
      </c>
      <c r="AE21">
        <f t="shared" si="24"/>
        <v>2542.3000000000002</v>
      </c>
      <c r="AF21">
        <f t="shared" si="21"/>
        <v>68033.137914884093</v>
      </c>
      <c r="AG21">
        <f t="shared" si="9"/>
        <v>1804.407203538246</v>
      </c>
      <c r="AH21">
        <f t="shared" si="10"/>
        <v>130.9</v>
      </c>
      <c r="AI21">
        <f t="shared" si="11"/>
        <v>2235</v>
      </c>
      <c r="AJ21">
        <f t="shared" si="18"/>
        <v>1957</v>
      </c>
      <c r="AK21">
        <f t="shared" si="19"/>
        <v>5254</v>
      </c>
    </row>
    <row r="22" spans="1:41" x14ac:dyDescent="0.2">
      <c r="A22" s="2">
        <v>2006</v>
      </c>
      <c r="B22">
        <f t="shared" si="0"/>
        <v>101134.21582933901</v>
      </c>
      <c r="F22">
        <v>16577.900000000001</v>
      </c>
      <c r="G22">
        <v>68</v>
      </c>
      <c r="H22">
        <v>786.4</v>
      </c>
      <c r="I22">
        <v>534.79999999999995</v>
      </c>
      <c r="J22">
        <v>2567.3000000000002</v>
      </c>
      <c r="K22">
        <v>68858.947516695291</v>
      </c>
      <c r="L22">
        <v>9535</v>
      </c>
      <c r="M22">
        <v>1917.2683126437032</v>
      </c>
      <c r="N22">
        <v>129.6</v>
      </c>
      <c r="O22">
        <v>2500</v>
      </c>
      <c r="P22">
        <v>1981</v>
      </c>
      <c r="Q22">
        <v>5281</v>
      </c>
      <c r="R22">
        <v>16.899999999999999</v>
      </c>
      <c r="S22">
        <v>310.2</v>
      </c>
      <c r="T22" s="52">
        <f t="shared" si="3"/>
        <v>155.5</v>
      </c>
      <c r="U22">
        <f t="shared" si="16"/>
        <v>111219.815829339</v>
      </c>
      <c r="W22">
        <f t="shared" si="20"/>
        <v>78393.947516695291</v>
      </c>
      <c r="X22">
        <f t="shared" si="17"/>
        <v>0.87837071225467545</v>
      </c>
      <c r="AB22">
        <f t="shared" si="5"/>
        <v>16577.900000000001</v>
      </c>
      <c r="AC22">
        <f t="shared" si="22"/>
        <v>786.4</v>
      </c>
      <c r="AD22">
        <f t="shared" si="23"/>
        <v>534.79999999999995</v>
      </c>
      <c r="AE22">
        <f t="shared" si="24"/>
        <v>2567.3000000000002</v>
      </c>
      <c r="AF22">
        <f t="shared" si="21"/>
        <v>68858.947516695291</v>
      </c>
      <c r="AG22">
        <f t="shared" si="9"/>
        <v>1917.2683126437032</v>
      </c>
      <c r="AH22">
        <f t="shared" si="10"/>
        <v>129.6</v>
      </c>
      <c r="AI22">
        <f t="shared" si="11"/>
        <v>2500</v>
      </c>
      <c r="AJ22">
        <f t="shared" si="18"/>
        <v>1981</v>
      </c>
      <c r="AK22">
        <f t="shared" si="19"/>
        <v>5281</v>
      </c>
    </row>
    <row r="23" spans="1:41" x14ac:dyDescent="0.2">
      <c r="A23" s="2">
        <v>2007</v>
      </c>
      <c r="B23">
        <f t="shared" si="0"/>
        <v>102954.6099954244</v>
      </c>
      <c r="F23">
        <v>17434.099999999999</v>
      </c>
      <c r="G23">
        <v>68</v>
      </c>
      <c r="H23">
        <v>822.6</v>
      </c>
      <c r="I23">
        <v>513.70000000000005</v>
      </c>
      <c r="J23">
        <v>2627.3</v>
      </c>
      <c r="K23">
        <v>69572.966253682185</v>
      </c>
      <c r="L23">
        <v>9688</v>
      </c>
      <c r="M23">
        <v>2011.2437417422159</v>
      </c>
      <c r="N23">
        <v>127.7</v>
      </c>
      <c r="O23">
        <v>2532</v>
      </c>
      <c r="P23">
        <v>2005</v>
      </c>
      <c r="Q23">
        <v>5308</v>
      </c>
      <c r="R23">
        <v>16.2</v>
      </c>
      <c r="S23">
        <v>319.8</v>
      </c>
      <c r="T23" s="52">
        <f>T24</f>
        <v>155.5</v>
      </c>
      <c r="U23">
        <f t="shared" si="16"/>
        <v>113202.1099954244</v>
      </c>
      <c r="W23">
        <f t="shared" si="20"/>
        <v>79260.966253682185</v>
      </c>
      <c r="X23">
        <f t="shared" si="17"/>
        <v>0.87777085672924249</v>
      </c>
      <c r="AB23">
        <f t="shared" si="5"/>
        <v>17434.099999999999</v>
      </c>
      <c r="AC23">
        <f t="shared" si="22"/>
        <v>822.6</v>
      </c>
      <c r="AD23">
        <f t="shared" si="23"/>
        <v>513.70000000000005</v>
      </c>
      <c r="AE23">
        <f t="shared" si="24"/>
        <v>2627.3</v>
      </c>
      <c r="AF23">
        <f t="shared" si="21"/>
        <v>69572.966253682185</v>
      </c>
      <c r="AG23">
        <f t="shared" si="9"/>
        <v>2011.2437417422159</v>
      </c>
      <c r="AH23">
        <f t="shared" si="10"/>
        <v>127.7</v>
      </c>
      <c r="AI23">
        <f t="shared" si="11"/>
        <v>2532</v>
      </c>
      <c r="AJ23">
        <f t="shared" si="18"/>
        <v>2005</v>
      </c>
      <c r="AK23">
        <f t="shared" si="19"/>
        <v>5308</v>
      </c>
    </row>
    <row r="24" spans="1:41" x14ac:dyDescent="0.2">
      <c r="A24" s="2">
        <v>2008</v>
      </c>
      <c r="B24">
        <f t="shared" si="0"/>
        <v>104660.46066869839</v>
      </c>
      <c r="F24">
        <v>17775.5</v>
      </c>
      <c r="G24">
        <v>73.7</v>
      </c>
      <c r="H24">
        <v>903.1</v>
      </c>
      <c r="I24">
        <v>528</v>
      </c>
      <c r="J24">
        <v>2388.5</v>
      </c>
      <c r="K24">
        <v>71000.983446943996</v>
      </c>
      <c r="L24">
        <v>10396.100762838683</v>
      </c>
      <c r="M24">
        <v>2128.3772217544056</v>
      </c>
      <c r="N24">
        <v>128</v>
      </c>
      <c r="O24">
        <v>2410</v>
      </c>
      <c r="P24">
        <v>2040</v>
      </c>
      <c r="Q24">
        <v>5358</v>
      </c>
      <c r="R24">
        <v>17.100000000000001</v>
      </c>
      <c r="S24">
        <v>342.1</v>
      </c>
      <c r="T24">
        <v>155.5</v>
      </c>
      <c r="U24">
        <f t="shared" ref="U24:U36" si="25">SUM(F24:T24)</f>
        <v>115644.9614315371</v>
      </c>
      <c r="W24">
        <f t="shared" si="20"/>
        <v>81397.084209782683</v>
      </c>
      <c r="X24">
        <f t="shared" si="17"/>
        <v>0.87227919938698206</v>
      </c>
      <c r="AB24">
        <f t="shared" si="5"/>
        <v>17775.5</v>
      </c>
      <c r="AC24">
        <f t="shared" si="22"/>
        <v>903.1</v>
      </c>
      <c r="AD24">
        <f t="shared" si="23"/>
        <v>528</v>
      </c>
      <c r="AE24">
        <f t="shared" si="24"/>
        <v>2388.5</v>
      </c>
      <c r="AF24">
        <f t="shared" si="21"/>
        <v>71000.983446943996</v>
      </c>
      <c r="AG24">
        <f t="shared" si="9"/>
        <v>2128.3772217544056</v>
      </c>
      <c r="AH24">
        <f t="shared" si="10"/>
        <v>128</v>
      </c>
      <c r="AI24">
        <f t="shared" si="11"/>
        <v>2410</v>
      </c>
      <c r="AJ24">
        <f t="shared" si="18"/>
        <v>2040</v>
      </c>
      <c r="AK24">
        <f t="shared" si="19"/>
        <v>5358</v>
      </c>
    </row>
    <row r="25" spans="1:41" x14ac:dyDescent="0.2">
      <c r="A25" s="2">
        <v>2009</v>
      </c>
      <c r="B25">
        <f t="shared" si="0"/>
        <v>107534.74234096745</v>
      </c>
      <c r="F25">
        <v>18570.7</v>
      </c>
      <c r="G25">
        <v>71.7</v>
      </c>
      <c r="H25">
        <v>934.6</v>
      </c>
      <c r="I25">
        <v>508.4</v>
      </c>
      <c r="J25">
        <v>2458.1</v>
      </c>
      <c r="K25">
        <v>72771.238913835798</v>
      </c>
      <c r="L25">
        <v>11115.729092712458</v>
      </c>
      <c r="M25">
        <v>2208.6124255316545</v>
      </c>
      <c r="N25">
        <v>128.9</v>
      </c>
      <c r="O25">
        <v>2451.1910016000002</v>
      </c>
      <c r="P25">
        <v>2081</v>
      </c>
      <c r="Q25">
        <v>5422</v>
      </c>
      <c r="R25">
        <v>16.5</v>
      </c>
      <c r="S25">
        <v>335.9</v>
      </c>
      <c r="T25">
        <v>169.6</v>
      </c>
      <c r="U25">
        <f t="shared" si="25"/>
        <v>119244.17143367991</v>
      </c>
      <c r="W25">
        <f t="shared" si="20"/>
        <v>83886.968006548253</v>
      </c>
      <c r="X25">
        <f t="shared" si="17"/>
        <v>0.86749158591779407</v>
      </c>
      <c r="AB25">
        <f t="shared" si="5"/>
        <v>18570.7</v>
      </c>
      <c r="AC25">
        <f t="shared" si="22"/>
        <v>934.6</v>
      </c>
      <c r="AD25">
        <f t="shared" si="23"/>
        <v>508.4</v>
      </c>
      <c r="AE25">
        <f t="shared" si="24"/>
        <v>2458.1</v>
      </c>
      <c r="AF25">
        <f t="shared" si="21"/>
        <v>72771.238913835798</v>
      </c>
      <c r="AG25">
        <f t="shared" si="9"/>
        <v>2208.6124255316545</v>
      </c>
      <c r="AH25">
        <f t="shared" si="10"/>
        <v>128.9</v>
      </c>
      <c r="AI25">
        <f t="shared" si="11"/>
        <v>2451.1910016000002</v>
      </c>
      <c r="AJ25">
        <f t="shared" si="18"/>
        <v>2081</v>
      </c>
      <c r="AK25">
        <f t="shared" si="19"/>
        <v>5422</v>
      </c>
    </row>
    <row r="26" spans="1:41" x14ac:dyDescent="0.2">
      <c r="A26" s="2">
        <v>2010</v>
      </c>
      <c r="B26">
        <f t="shared" si="0"/>
        <v>109759.45730997024</v>
      </c>
      <c r="F26">
        <v>19176.599999999999</v>
      </c>
      <c r="G26">
        <v>75</v>
      </c>
      <c r="H26">
        <v>978.2</v>
      </c>
      <c r="I26">
        <v>515.29999999999995</v>
      </c>
      <c r="J26">
        <v>2493.4</v>
      </c>
      <c r="K26">
        <v>74086.919575321299</v>
      </c>
      <c r="L26">
        <v>11846.613864267718</v>
      </c>
      <c r="M26">
        <v>2295.7838530489362</v>
      </c>
      <c r="N26">
        <v>132.30000000000001</v>
      </c>
      <c r="O26">
        <v>2498.9538815999999</v>
      </c>
      <c r="P26">
        <v>2116</v>
      </c>
      <c r="Q26">
        <v>5466</v>
      </c>
      <c r="R26">
        <v>16.5</v>
      </c>
      <c r="S26">
        <v>323.8</v>
      </c>
      <c r="T26">
        <v>154.4</v>
      </c>
      <c r="U26">
        <f t="shared" si="25"/>
        <v>122175.77117423796</v>
      </c>
      <c r="W26">
        <f t="shared" si="20"/>
        <v>85933.533439589024</v>
      </c>
      <c r="X26">
        <f t="shared" si="17"/>
        <v>0.86214213020117636</v>
      </c>
      <c r="AB26">
        <f t="shared" si="5"/>
        <v>19176.599999999999</v>
      </c>
      <c r="AC26">
        <f t="shared" si="22"/>
        <v>978.2</v>
      </c>
      <c r="AD26">
        <f t="shared" si="23"/>
        <v>515.29999999999995</v>
      </c>
      <c r="AE26">
        <f t="shared" si="24"/>
        <v>2493.4</v>
      </c>
      <c r="AF26">
        <f t="shared" si="21"/>
        <v>74086.919575321299</v>
      </c>
      <c r="AG26">
        <f t="shared" si="9"/>
        <v>2295.7838530489362</v>
      </c>
      <c r="AH26">
        <f t="shared" si="10"/>
        <v>132.30000000000001</v>
      </c>
      <c r="AI26">
        <f t="shared" si="11"/>
        <v>2498.9538815999999</v>
      </c>
      <c r="AJ26">
        <f t="shared" si="18"/>
        <v>2116</v>
      </c>
      <c r="AK26">
        <f t="shared" si="19"/>
        <v>5466</v>
      </c>
    </row>
    <row r="27" spans="1:41" x14ac:dyDescent="0.2">
      <c r="A27" s="2">
        <v>2011</v>
      </c>
      <c r="B27">
        <f t="shared" si="0"/>
        <v>110285.56380432411</v>
      </c>
      <c r="F27">
        <v>19471.400000000001</v>
      </c>
      <c r="G27">
        <v>77.400000000000006</v>
      </c>
      <c r="H27">
        <v>1070.5999999999999</v>
      </c>
      <c r="I27">
        <v>518.1</v>
      </c>
      <c r="J27">
        <v>2510.6999999999998</v>
      </c>
      <c r="K27">
        <v>74134.597635423008</v>
      </c>
      <c r="L27">
        <v>12588.866772118845</v>
      </c>
      <c r="M27">
        <v>2239.2369120710891</v>
      </c>
      <c r="N27">
        <v>133.616072</v>
      </c>
      <c r="O27">
        <v>2577.2850048</v>
      </c>
      <c r="P27">
        <v>2176.18550813</v>
      </c>
      <c r="Q27">
        <v>5453.8426718999999</v>
      </c>
      <c r="R27">
        <v>16.3</v>
      </c>
      <c r="S27">
        <v>321.3</v>
      </c>
      <c r="T27">
        <v>157.5</v>
      </c>
      <c r="U27">
        <f t="shared" si="25"/>
        <v>123446.93057644294</v>
      </c>
      <c r="W27">
        <f t="shared" si="20"/>
        <v>86723.464407541847</v>
      </c>
      <c r="X27">
        <f t="shared" si="17"/>
        <v>0.8548389774541334</v>
      </c>
      <c r="AB27">
        <f t="shared" si="5"/>
        <v>19471.400000000001</v>
      </c>
      <c r="AC27">
        <f t="shared" si="22"/>
        <v>1070.5999999999999</v>
      </c>
      <c r="AD27">
        <f t="shared" si="23"/>
        <v>518.1</v>
      </c>
      <c r="AE27">
        <f t="shared" si="24"/>
        <v>2510.6999999999998</v>
      </c>
      <c r="AF27">
        <f t="shared" si="21"/>
        <v>74134.597635423008</v>
      </c>
      <c r="AG27">
        <f t="shared" si="9"/>
        <v>2239.2369120710891</v>
      </c>
      <c r="AH27">
        <f t="shared" si="10"/>
        <v>133.616072</v>
      </c>
      <c r="AI27">
        <f t="shared" si="11"/>
        <v>2577.2850048</v>
      </c>
      <c r="AJ27">
        <f t="shared" si="18"/>
        <v>2176.18550813</v>
      </c>
      <c r="AK27">
        <f t="shared" si="19"/>
        <v>5453.8426718999999</v>
      </c>
    </row>
    <row r="28" spans="1:41" x14ac:dyDescent="0.2">
      <c r="A28" s="2">
        <v>2012</v>
      </c>
      <c r="B28">
        <f t="shared" si="0"/>
        <v>110911.64453962681</v>
      </c>
      <c r="F28">
        <v>19262.400000000001</v>
      </c>
      <c r="G28">
        <v>78</v>
      </c>
      <c r="H28">
        <v>1130.3</v>
      </c>
      <c r="I28">
        <v>506</v>
      </c>
      <c r="J28">
        <v>2575.9</v>
      </c>
      <c r="K28">
        <v>74807.671733160401</v>
      </c>
      <c r="L28">
        <v>13342.651161725471</v>
      </c>
      <c r="M28">
        <v>2177.2058480964001</v>
      </c>
      <c r="N28">
        <v>134.760682</v>
      </c>
      <c r="O28">
        <v>2625.0478847999998</v>
      </c>
      <c r="P28">
        <v>2243.16558631</v>
      </c>
      <c r="Q28">
        <v>5449.1928052599997</v>
      </c>
      <c r="R28">
        <v>16.2</v>
      </c>
      <c r="S28">
        <v>301.10000000000002</v>
      </c>
      <c r="T28">
        <v>168.1</v>
      </c>
      <c r="U28">
        <f t="shared" si="25"/>
        <v>124817.69570135229</v>
      </c>
      <c r="W28">
        <f t="shared" si="20"/>
        <v>88150.322894885874</v>
      </c>
      <c r="X28">
        <f t="shared" si="17"/>
        <v>0.84863752368059042</v>
      </c>
      <c r="AB28">
        <f t="shared" si="5"/>
        <v>19262.400000000001</v>
      </c>
      <c r="AC28">
        <f t="shared" si="22"/>
        <v>1130.3</v>
      </c>
      <c r="AD28">
        <f t="shared" si="23"/>
        <v>506</v>
      </c>
      <c r="AE28">
        <f t="shared" si="24"/>
        <v>2575.9</v>
      </c>
      <c r="AF28">
        <f t="shared" si="21"/>
        <v>74807.671733160401</v>
      </c>
      <c r="AG28">
        <f t="shared" si="9"/>
        <v>2177.2058480964001</v>
      </c>
      <c r="AH28">
        <f t="shared" si="10"/>
        <v>134.760682</v>
      </c>
      <c r="AI28">
        <f t="shared" si="11"/>
        <v>2625.0478847999998</v>
      </c>
      <c r="AJ28">
        <f t="shared" si="18"/>
        <v>2243.16558631</v>
      </c>
      <c r="AK28">
        <f t="shared" si="19"/>
        <v>5449.1928052599997</v>
      </c>
    </row>
    <row r="29" spans="1:41" x14ac:dyDescent="0.2">
      <c r="A29" s="2">
        <v>2013</v>
      </c>
      <c r="B29">
        <f t="shared" si="0"/>
        <v>111678.96842906548</v>
      </c>
      <c r="F29">
        <v>19447.2</v>
      </c>
      <c r="G29">
        <v>77.900000000000006</v>
      </c>
      <c r="H29">
        <v>1120</v>
      </c>
      <c r="I29">
        <v>515.70000000000005</v>
      </c>
      <c r="J29">
        <v>2616.3000000000002</v>
      </c>
      <c r="K29">
        <v>75359.061822290008</v>
      </c>
      <c r="L29">
        <v>14108.180880181928</v>
      </c>
      <c r="M29">
        <v>2094.70160499549</v>
      </c>
      <c r="N29">
        <v>134.10889</v>
      </c>
      <c r="O29">
        <v>2643.1977791999998</v>
      </c>
      <c r="P29">
        <v>2308.8219496000002</v>
      </c>
      <c r="Q29">
        <v>5439.87638298</v>
      </c>
      <c r="R29">
        <v>15.7</v>
      </c>
      <c r="S29">
        <v>314.60000000000002</v>
      </c>
      <c r="T29">
        <v>153.30000000000001</v>
      </c>
      <c r="U29">
        <f t="shared" si="25"/>
        <v>126348.64930924743</v>
      </c>
      <c r="W29">
        <f t="shared" si="20"/>
        <v>89467.242702471936</v>
      </c>
      <c r="X29">
        <f t="shared" si="17"/>
        <v>0.84230897863814325</v>
      </c>
      <c r="AB29">
        <f t="shared" si="5"/>
        <v>19447.2</v>
      </c>
      <c r="AC29">
        <f t="shared" si="22"/>
        <v>1120</v>
      </c>
      <c r="AD29">
        <f t="shared" si="23"/>
        <v>515.70000000000005</v>
      </c>
      <c r="AE29">
        <f t="shared" si="24"/>
        <v>2616.3000000000002</v>
      </c>
      <c r="AF29">
        <f t="shared" si="21"/>
        <v>75359.061822290008</v>
      </c>
      <c r="AG29">
        <f t="shared" si="9"/>
        <v>2094.70160499549</v>
      </c>
      <c r="AH29">
        <f t="shared" si="10"/>
        <v>134.10889</v>
      </c>
      <c r="AI29">
        <f t="shared" si="11"/>
        <v>2643.1977791999998</v>
      </c>
      <c r="AJ29">
        <f t="shared" si="18"/>
        <v>2308.8219496000002</v>
      </c>
      <c r="AK29">
        <f t="shared" si="19"/>
        <v>5439.87638298</v>
      </c>
    </row>
    <row r="30" spans="1:41" x14ac:dyDescent="0.2">
      <c r="A30" s="2">
        <v>2014</v>
      </c>
      <c r="B30">
        <f t="shared" si="0"/>
        <v>112823.72494771198</v>
      </c>
      <c r="F30">
        <v>20010.2</v>
      </c>
      <c r="G30">
        <v>79.8</v>
      </c>
      <c r="H30">
        <v>1130.3</v>
      </c>
      <c r="I30">
        <v>509.9</v>
      </c>
      <c r="J30">
        <v>2675.5</v>
      </c>
      <c r="K30">
        <v>75818.4507219597</v>
      </c>
      <c r="L30">
        <v>14885.719127006545</v>
      </c>
      <c r="M30">
        <v>2020.0752479422772</v>
      </c>
      <c r="N30">
        <v>137.42572799999999</v>
      </c>
      <c r="O30">
        <v>2700.5</v>
      </c>
      <c r="P30">
        <v>2380.56112545</v>
      </c>
      <c r="Q30">
        <v>5440.8121243599999</v>
      </c>
      <c r="R30">
        <v>16</v>
      </c>
      <c r="S30">
        <v>305.89999999999998</v>
      </c>
      <c r="T30">
        <v>150.19999999999999</v>
      </c>
      <c r="U30">
        <f t="shared" si="25"/>
        <v>128261.34407471852</v>
      </c>
      <c r="W30">
        <f t="shared" si="20"/>
        <v>90704.169848966238</v>
      </c>
      <c r="X30">
        <f t="shared" si="17"/>
        <v>0.83588715764894694</v>
      </c>
      <c r="AB30">
        <f t="shared" si="5"/>
        <v>20010.2</v>
      </c>
      <c r="AC30">
        <f t="shared" si="22"/>
        <v>1130.3</v>
      </c>
      <c r="AD30">
        <f t="shared" si="23"/>
        <v>509.9</v>
      </c>
      <c r="AE30">
        <f t="shared" si="24"/>
        <v>2675.5</v>
      </c>
      <c r="AF30">
        <f t="shared" si="21"/>
        <v>75818.4507219597</v>
      </c>
      <c r="AG30">
        <f t="shared" si="9"/>
        <v>2020.0752479422772</v>
      </c>
      <c r="AH30">
        <f t="shared" si="10"/>
        <v>137.42572799999999</v>
      </c>
      <c r="AI30">
        <f t="shared" si="11"/>
        <v>2700.5</v>
      </c>
      <c r="AJ30">
        <f t="shared" si="18"/>
        <v>2380.56112545</v>
      </c>
      <c r="AK30">
        <f t="shared" si="19"/>
        <v>5440.8121243599999</v>
      </c>
    </row>
    <row r="31" spans="1:41" x14ac:dyDescent="0.2">
      <c r="A31" s="2">
        <v>2015</v>
      </c>
      <c r="B31">
        <f t="shared" si="0"/>
        <v>113850.58411708065</v>
      </c>
      <c r="D31">
        <f>SUM(AM31:AN31)/B31</f>
        <v>0.40767614851659456</v>
      </c>
      <c r="F31">
        <v>20389.3</v>
      </c>
      <c r="G31">
        <v>85.5</v>
      </c>
      <c r="H31">
        <v>1153.3</v>
      </c>
      <c r="I31">
        <v>516.29999999999995</v>
      </c>
      <c r="J31">
        <v>2727.2</v>
      </c>
      <c r="K31">
        <v>76319.259939049894</v>
      </c>
      <c r="L31">
        <v>15675.597658999999</v>
      </c>
      <c r="M31">
        <v>1942.4362909807655</v>
      </c>
      <c r="N31">
        <v>142.91858199999999</v>
      </c>
      <c r="O31">
        <v>2766.4260095999998</v>
      </c>
      <c r="P31">
        <v>2453.4930886500001</v>
      </c>
      <c r="Q31">
        <v>5439.9502068000002</v>
      </c>
      <c r="R31">
        <v>16</v>
      </c>
      <c r="S31">
        <v>304.8</v>
      </c>
      <c r="T31">
        <v>152.1</v>
      </c>
      <c r="U31">
        <f t="shared" si="25"/>
        <v>130084.58177608065</v>
      </c>
      <c r="W31">
        <f t="shared" si="20"/>
        <v>91994.857598049886</v>
      </c>
      <c r="X31">
        <f t="shared" si="17"/>
        <v>0.82960354449929297</v>
      </c>
      <c r="AB31">
        <f t="shared" si="5"/>
        <v>20389.3</v>
      </c>
      <c r="AC31">
        <f t="shared" si="22"/>
        <v>1153.3</v>
      </c>
      <c r="AD31">
        <f t="shared" si="23"/>
        <v>516.29999999999995</v>
      </c>
      <c r="AE31">
        <f t="shared" si="24"/>
        <v>2727.2</v>
      </c>
      <c r="AF31">
        <f t="shared" si="21"/>
        <v>76319.259939049894</v>
      </c>
      <c r="AG31">
        <f t="shared" si="9"/>
        <v>1942.4362909807655</v>
      </c>
      <c r="AH31">
        <f t="shared" si="10"/>
        <v>142.91858199999999</v>
      </c>
      <c r="AI31">
        <f t="shared" si="11"/>
        <v>2766.4260095999998</v>
      </c>
      <c r="AJ31">
        <f t="shared" si="18"/>
        <v>2453.4930886500001</v>
      </c>
      <c r="AK31">
        <f t="shared" si="19"/>
        <v>5439.9502068000002</v>
      </c>
      <c r="AM31">
        <f>AB31</f>
        <v>20389.3</v>
      </c>
      <c r="AN31">
        <f>AF31*(1-AO31)</f>
        <v>26024.867639216012</v>
      </c>
      <c r="AO31">
        <v>0.65900000000000003</v>
      </c>
    </row>
    <row r="32" spans="1:41" x14ac:dyDescent="0.2">
      <c r="A32" s="2">
        <v>2016</v>
      </c>
      <c r="B32">
        <f t="shared" si="0"/>
        <v>115851.14080542972</v>
      </c>
      <c r="F32">
        <v>20812</v>
      </c>
      <c r="G32">
        <v>81.5</v>
      </c>
      <c r="H32">
        <v>1160</v>
      </c>
      <c r="I32">
        <v>522</v>
      </c>
      <c r="J32">
        <v>2782</v>
      </c>
      <c r="K32">
        <v>77643.889140987594</v>
      </c>
      <c r="L32">
        <v>16325.942092255615</v>
      </c>
      <c r="M32">
        <v>1970.7758319221302</v>
      </c>
      <c r="N32">
        <v>155.97771800000001</v>
      </c>
      <c r="O32">
        <v>2826.6072383999999</v>
      </c>
      <c r="P32">
        <v>2477.9275471000001</v>
      </c>
      <c r="Q32">
        <v>5499.9633290199999</v>
      </c>
      <c r="R32">
        <v>15.8</v>
      </c>
      <c r="S32">
        <v>292.10000000000002</v>
      </c>
      <c r="T32">
        <v>152.30000000000001</v>
      </c>
      <c r="U32">
        <f t="shared" si="25"/>
        <v>132718.78289768533</v>
      </c>
      <c r="W32">
        <f t="shared" si="20"/>
        <v>93969.831233243211</v>
      </c>
      <c r="X32">
        <f t="shared" si="17"/>
        <v>0.82626400539410494</v>
      </c>
      <c r="AB32">
        <f t="shared" si="5"/>
        <v>20812</v>
      </c>
      <c r="AC32">
        <f t="shared" si="22"/>
        <v>1160</v>
      </c>
      <c r="AD32">
        <f t="shared" si="23"/>
        <v>522</v>
      </c>
      <c r="AE32">
        <f t="shared" si="24"/>
        <v>2782</v>
      </c>
      <c r="AF32">
        <f t="shared" si="21"/>
        <v>77643.889140987594</v>
      </c>
      <c r="AG32">
        <f t="shared" si="9"/>
        <v>1970.7758319221302</v>
      </c>
      <c r="AH32">
        <f t="shared" si="10"/>
        <v>155.97771800000001</v>
      </c>
      <c r="AI32">
        <f t="shared" si="11"/>
        <v>2826.6072383999999</v>
      </c>
      <c r="AJ32">
        <f t="shared" si="18"/>
        <v>2477.9275471000001</v>
      </c>
      <c r="AK32">
        <f t="shared" si="19"/>
        <v>5499.9633290199999</v>
      </c>
    </row>
    <row r="33" spans="1:41" x14ac:dyDescent="0.2">
      <c r="A33" s="2">
        <v>2017</v>
      </c>
      <c r="B33">
        <f t="shared" si="0"/>
        <v>117219.50444068712</v>
      </c>
      <c r="F33">
        <v>20864.5</v>
      </c>
      <c r="G33">
        <v>88.6</v>
      </c>
      <c r="H33">
        <v>1177.0999999999999</v>
      </c>
      <c r="I33">
        <v>533.6</v>
      </c>
      <c r="J33">
        <v>2776.5</v>
      </c>
      <c r="K33">
        <v>78765.255506000001</v>
      </c>
      <c r="L33">
        <v>16976.260731999999</v>
      </c>
      <c r="M33">
        <v>1994.7628099999999</v>
      </c>
      <c r="N33">
        <v>166.63112962713762</v>
      </c>
      <c r="O33">
        <v>2875.3253800000002</v>
      </c>
      <c r="P33">
        <v>2503.6875923399998</v>
      </c>
      <c r="Q33">
        <v>5562.1420227199997</v>
      </c>
      <c r="R33">
        <v>16.600000000000001</v>
      </c>
      <c r="S33">
        <v>302.39999999999998</v>
      </c>
      <c r="T33">
        <v>145.4</v>
      </c>
      <c r="U33">
        <f t="shared" si="25"/>
        <v>134748.7651726871</v>
      </c>
      <c r="W33">
        <f t="shared" si="20"/>
        <v>95741.516237999997</v>
      </c>
      <c r="X33">
        <f t="shared" si="17"/>
        <v>0.82268652723444036</v>
      </c>
      <c r="AB33">
        <f t="shared" si="5"/>
        <v>20864.5</v>
      </c>
      <c r="AC33">
        <f t="shared" si="22"/>
        <v>1177.0999999999999</v>
      </c>
      <c r="AD33">
        <f t="shared" si="23"/>
        <v>533.6</v>
      </c>
      <c r="AE33">
        <f t="shared" si="24"/>
        <v>2776.5</v>
      </c>
      <c r="AF33">
        <f t="shared" si="21"/>
        <v>78765.255506000001</v>
      </c>
      <c r="AG33">
        <f t="shared" si="9"/>
        <v>1994.7628099999999</v>
      </c>
      <c r="AH33">
        <f t="shared" si="10"/>
        <v>166.63112962713762</v>
      </c>
      <c r="AI33">
        <f t="shared" si="11"/>
        <v>2875.3253800000002</v>
      </c>
      <c r="AJ33">
        <f t="shared" si="18"/>
        <v>2503.6875923399998</v>
      </c>
      <c r="AK33">
        <f t="shared" si="19"/>
        <v>5562.1420227199997</v>
      </c>
    </row>
    <row r="34" spans="1:41" x14ac:dyDescent="0.2">
      <c r="A34" s="2">
        <v>2018</v>
      </c>
      <c r="B34">
        <f t="shared" si="0"/>
        <v>117644.74656407825</v>
      </c>
      <c r="F34">
        <v>20613</v>
      </c>
      <c r="G34">
        <v>90.9</v>
      </c>
      <c r="H34">
        <v>1174.5999999999999</v>
      </c>
      <c r="I34">
        <v>530.9</v>
      </c>
      <c r="J34">
        <v>2792.7</v>
      </c>
      <c r="K34">
        <v>79270.001583934602</v>
      </c>
      <c r="L34">
        <v>17626.579370759438</v>
      </c>
      <c r="M34">
        <v>2022.5720290327067</v>
      </c>
      <c r="N34">
        <v>178.47809938095614</v>
      </c>
      <c r="O34">
        <v>2936.4618624</v>
      </c>
      <c r="P34">
        <v>2520.4201205200002</v>
      </c>
      <c r="Q34">
        <v>5605.6128688099998</v>
      </c>
      <c r="R34">
        <v>18.2</v>
      </c>
      <c r="S34">
        <v>324.10000000000002</v>
      </c>
      <c r="T34">
        <v>159.5</v>
      </c>
      <c r="U34">
        <f t="shared" si="25"/>
        <v>135864.02593483773</v>
      </c>
      <c r="W34">
        <f t="shared" si="20"/>
        <v>96896.580954694044</v>
      </c>
      <c r="X34">
        <f t="shared" si="17"/>
        <v>0.8180887375272704</v>
      </c>
      <c r="AB34">
        <f t="shared" si="5"/>
        <v>20613</v>
      </c>
      <c r="AC34">
        <f t="shared" si="22"/>
        <v>1174.5999999999999</v>
      </c>
      <c r="AD34">
        <f t="shared" si="23"/>
        <v>530.9</v>
      </c>
      <c r="AE34">
        <f t="shared" si="24"/>
        <v>2792.7</v>
      </c>
      <c r="AF34">
        <f t="shared" si="21"/>
        <v>79270.001583934602</v>
      </c>
      <c r="AG34">
        <f t="shared" si="9"/>
        <v>2022.5720290327067</v>
      </c>
      <c r="AH34">
        <f t="shared" si="10"/>
        <v>178.47809938095614</v>
      </c>
      <c r="AI34">
        <f t="shared" si="11"/>
        <v>2936.4618624</v>
      </c>
      <c r="AJ34">
        <f t="shared" si="18"/>
        <v>2520.4201205200002</v>
      </c>
      <c r="AK34">
        <f t="shared" si="19"/>
        <v>5605.6128688099998</v>
      </c>
    </row>
    <row r="35" spans="1:41" x14ac:dyDescent="0.2">
      <c r="A35" s="2">
        <v>2019</v>
      </c>
      <c r="B35">
        <f t="shared" si="0"/>
        <v>119433.78223710317</v>
      </c>
      <c r="F35">
        <v>21737</v>
      </c>
      <c r="G35">
        <v>94.4</v>
      </c>
      <c r="H35">
        <v>1185.7</v>
      </c>
      <c r="I35">
        <v>518.1</v>
      </c>
      <c r="J35">
        <v>3014.9</v>
      </c>
      <c r="K35">
        <v>79575.15049</v>
      </c>
      <c r="L35">
        <v>18276.898010000001</v>
      </c>
      <c r="M35">
        <v>2036.8740700000001</v>
      </c>
      <c r="N35">
        <v>187.38946623317401</v>
      </c>
      <c r="O35">
        <v>2995.6878299999998</v>
      </c>
      <c r="P35">
        <v>2536.5092018</v>
      </c>
      <c r="Q35">
        <v>5646.4711790700003</v>
      </c>
      <c r="R35">
        <v>18.2</v>
      </c>
      <c r="S35">
        <v>343.5</v>
      </c>
      <c r="T35">
        <v>157.4</v>
      </c>
      <c r="U35">
        <f t="shared" si="25"/>
        <v>138324.18024710321</v>
      </c>
      <c r="W35">
        <f t="shared" si="20"/>
        <v>97852.048500000004</v>
      </c>
      <c r="X35">
        <f t="shared" si="17"/>
        <v>0.81321905580750309</v>
      </c>
      <c r="AB35">
        <f t="shared" si="5"/>
        <v>21737</v>
      </c>
      <c r="AC35">
        <f t="shared" si="22"/>
        <v>1185.7</v>
      </c>
      <c r="AD35">
        <f t="shared" si="23"/>
        <v>518.1</v>
      </c>
      <c r="AE35">
        <f t="shared" si="24"/>
        <v>3014.9</v>
      </c>
      <c r="AF35">
        <f t="shared" si="21"/>
        <v>79575.15049</v>
      </c>
      <c r="AG35">
        <f t="shared" si="9"/>
        <v>2036.8740700000001</v>
      </c>
      <c r="AH35">
        <f t="shared" si="10"/>
        <v>187.38946623317401</v>
      </c>
      <c r="AI35">
        <f t="shared" si="11"/>
        <v>2995.6878299999998</v>
      </c>
      <c r="AJ35">
        <f t="shared" si="18"/>
        <v>2536.5092018</v>
      </c>
      <c r="AK35">
        <f t="shared" si="19"/>
        <v>5646.4711790700003</v>
      </c>
    </row>
    <row r="36" spans="1:41" x14ac:dyDescent="0.2">
      <c r="A36" s="2">
        <v>2020</v>
      </c>
      <c r="B36">
        <f t="shared" si="0"/>
        <v>104269.13145458369</v>
      </c>
      <c r="F36">
        <v>13334</v>
      </c>
      <c r="G36">
        <v>44.8</v>
      </c>
      <c r="H36">
        <v>790.4</v>
      </c>
      <c r="I36">
        <v>386.3</v>
      </c>
      <c r="J36">
        <v>2231</v>
      </c>
      <c r="K36">
        <v>74003.658491524795</v>
      </c>
      <c r="L36">
        <v>13280.368770483452</v>
      </c>
      <c r="M36">
        <v>2110.8594494433764</v>
      </c>
      <c r="N36">
        <v>203.28673507036603</v>
      </c>
      <c r="O36">
        <v>2765.4707520000002</v>
      </c>
      <c r="P36">
        <v>2755.1562949951604</v>
      </c>
      <c r="Q36">
        <v>5688.9997315500004</v>
      </c>
      <c r="R36">
        <v>14.9</v>
      </c>
      <c r="S36">
        <v>281.39999999999998</v>
      </c>
      <c r="T36">
        <v>78.5</v>
      </c>
      <c r="U36">
        <f t="shared" si="25"/>
        <v>117969.10022506714</v>
      </c>
      <c r="W36">
        <f t="shared" si="20"/>
        <v>87284.027262008254</v>
      </c>
      <c r="X36">
        <f t="shared" si="17"/>
        <v>0.84784880822904063</v>
      </c>
      <c r="AB36">
        <f t="shared" si="5"/>
        <v>13334</v>
      </c>
      <c r="AC36">
        <f t="shared" si="22"/>
        <v>790.4</v>
      </c>
      <c r="AD36">
        <f t="shared" si="23"/>
        <v>386.3</v>
      </c>
      <c r="AE36">
        <f t="shared" si="24"/>
        <v>2231</v>
      </c>
      <c r="AF36">
        <f t="shared" si="21"/>
        <v>74003.658491524795</v>
      </c>
      <c r="AG36">
        <f t="shared" si="9"/>
        <v>2110.8594494433764</v>
      </c>
      <c r="AH36">
        <f t="shared" si="10"/>
        <v>203.28673507036603</v>
      </c>
      <c r="AI36">
        <f t="shared" si="11"/>
        <v>2765.4707520000002</v>
      </c>
      <c r="AJ36">
        <f t="shared" si="18"/>
        <v>2755.1562949951604</v>
      </c>
      <c r="AK36">
        <f t="shared" si="19"/>
        <v>5688.9997315500004</v>
      </c>
    </row>
    <row r="37" spans="1:41" x14ac:dyDescent="0.2">
      <c r="A37" s="2">
        <v>2021</v>
      </c>
      <c r="B37">
        <f t="shared" si="0"/>
        <v>108946.81024127567</v>
      </c>
      <c r="D37">
        <f>SUM(AM37:AN37)/B37</f>
        <v>0.39093028450423056</v>
      </c>
      <c r="F37">
        <v>14308</v>
      </c>
      <c r="G37">
        <v>40.5</v>
      </c>
      <c r="H37">
        <v>814.2</v>
      </c>
      <c r="I37">
        <v>430.7</v>
      </c>
      <c r="J37">
        <v>2369.6999999999998</v>
      </c>
      <c r="K37">
        <v>77422.960644539606</v>
      </c>
      <c r="L37">
        <v>15242.929284969861</v>
      </c>
      <c r="M37">
        <v>2157.9524948883668</v>
      </c>
      <c r="N37">
        <v>216.67195011159134</v>
      </c>
      <c r="O37">
        <v>2916.4014528000002</v>
      </c>
      <c r="P37">
        <v>2576.1167929861072</v>
      </c>
      <c r="Q37">
        <v>5734.1069059499996</v>
      </c>
      <c r="R37">
        <v>17.600000000000001</v>
      </c>
      <c r="S37">
        <v>291.7</v>
      </c>
      <c r="T37">
        <v>116.6</v>
      </c>
      <c r="U37">
        <f>SUM(F37:T37)</f>
        <v>124656.13952624553</v>
      </c>
      <c r="W37">
        <f t="shared" si="20"/>
        <v>92665.88992950946</v>
      </c>
      <c r="X37">
        <f t="shared" si="17"/>
        <v>0.83550657856342736</v>
      </c>
      <c r="AB37">
        <f t="shared" si="5"/>
        <v>14308</v>
      </c>
      <c r="AC37">
        <f t="shared" si="22"/>
        <v>814.2</v>
      </c>
      <c r="AD37">
        <f t="shared" si="23"/>
        <v>430.7</v>
      </c>
      <c r="AE37">
        <f t="shared" si="24"/>
        <v>2369.6999999999998</v>
      </c>
      <c r="AF37">
        <f t="shared" si="21"/>
        <v>77422.960644539606</v>
      </c>
      <c r="AG37">
        <f t="shared" si="9"/>
        <v>2157.9524948883668</v>
      </c>
      <c r="AH37">
        <f t="shared" si="10"/>
        <v>216.67195011159134</v>
      </c>
      <c r="AI37">
        <f t="shared" si="11"/>
        <v>2916.4014528000002</v>
      </c>
      <c r="AJ37">
        <f t="shared" si="18"/>
        <v>2576.1167929861072</v>
      </c>
      <c r="AK37">
        <f t="shared" si="19"/>
        <v>5734.1069059499996</v>
      </c>
      <c r="AM37">
        <f>AB37</f>
        <v>14308</v>
      </c>
      <c r="AN37">
        <f>AF37*(1-AO37)</f>
        <v>28282.607523450315</v>
      </c>
      <c r="AO37">
        <v>0.63470000000000004</v>
      </c>
    </row>
    <row r="38" spans="1:41" x14ac:dyDescent="0.2">
      <c r="A38" s="4"/>
      <c r="AB38" s="2"/>
    </row>
    <row r="39" spans="1:41" x14ac:dyDescent="0.2">
      <c r="A39" s="2" t="s">
        <v>40</v>
      </c>
      <c r="X39">
        <f>AVERAGE(X10:X36)</f>
        <v>0.85468502933269308</v>
      </c>
    </row>
    <row r="41" spans="1:41" x14ac:dyDescent="0.2">
      <c r="A41" s="2" t="s">
        <v>85</v>
      </c>
      <c r="X41">
        <f>_xlfn.VAR.S(X5:X36)</f>
        <v>3.8319910317367628E-4</v>
      </c>
    </row>
    <row r="42" spans="1:41" x14ac:dyDescent="0.2">
      <c r="A42" s="2" t="s">
        <v>86</v>
      </c>
      <c r="X42">
        <f>STDEV(X5:X36)</f>
        <v>1.9575471978311949E-2</v>
      </c>
    </row>
    <row r="43" spans="1:41" s="36" customFormat="1" x14ac:dyDescent="0.2">
      <c r="A43" s="2" t="s">
        <v>95</v>
      </c>
      <c r="E43" s="2"/>
      <c r="X43">
        <f>X42/X39</f>
        <v>2.2903726292708981E-2</v>
      </c>
    </row>
    <row r="44" spans="1:41" x14ac:dyDescent="0.2">
      <c r="A44" s="2" t="s">
        <v>96</v>
      </c>
      <c r="X44">
        <f>AVEDEV(X5:X37)</f>
        <v>1.622432200215378E-2</v>
      </c>
    </row>
    <row r="45" spans="1:41" x14ac:dyDescent="0.2">
      <c r="A45" s="2" t="s">
        <v>97</v>
      </c>
      <c r="X45">
        <f>X44/X39</f>
        <v>1.8982808222136684E-2</v>
      </c>
    </row>
    <row r="47" spans="1:41" x14ac:dyDescent="0.2">
      <c r="A47" s="2" t="s">
        <v>6</v>
      </c>
      <c r="AO47" t="s">
        <v>352</v>
      </c>
    </row>
    <row r="48" spans="1:41" x14ac:dyDescent="0.2">
      <c r="A48" s="2" t="s">
        <v>7</v>
      </c>
      <c r="AO48" s="3" t="s">
        <v>353</v>
      </c>
    </row>
  </sheetData>
  <mergeCells count="9">
    <mergeCell ref="F1:T1"/>
    <mergeCell ref="W1:Y1"/>
    <mergeCell ref="AB1:AK1"/>
    <mergeCell ref="AM1:AN1"/>
    <mergeCell ref="P2:Q2"/>
    <mergeCell ref="F2:G2"/>
    <mergeCell ref="H2:J2"/>
    <mergeCell ref="R2:S2"/>
    <mergeCell ref="K2:O2"/>
  </mergeCells>
  <hyperlinks>
    <hyperlink ref="AO48" r:id="rId1" xr:uid="{FEAE33DC-AA8B-F949-8561-D3A9339B7A12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511-2A64-F94C-9042-6737D5755477}">
  <dimension ref="A1:BB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RowHeight="16" outlineLevelCol="1" x14ac:dyDescent="0.2"/>
  <cols>
    <col min="1" max="1" width="10.83203125" style="2"/>
    <col min="4" max="4" width="10.83203125" style="7"/>
    <col min="7" max="7" width="10.83203125" style="7"/>
    <col min="10" max="10" width="10.83203125" style="7"/>
    <col min="13" max="13" width="10.83203125" style="7"/>
    <col min="16" max="16" width="10.83203125" style="7"/>
    <col min="17" max="18" width="10.83203125" outlineLevel="1"/>
    <col min="19" max="19" width="13" bestFit="1" customWidth="1" outlineLevel="1"/>
    <col min="20" max="23" width="10.83203125" outlineLevel="1"/>
    <col min="24" max="26" width="10" customWidth="1" outlineLevel="1"/>
    <col min="27" max="27" width="10.83203125" style="7" outlineLevel="1"/>
  </cols>
  <sheetData>
    <row r="1" spans="1:54" s="2" customFormat="1" ht="51" customHeight="1" x14ac:dyDescent="0.3">
      <c r="B1" s="27" t="s">
        <v>179</v>
      </c>
      <c r="C1" s="27"/>
      <c r="D1" s="47"/>
      <c r="E1" s="104" t="s">
        <v>199</v>
      </c>
      <c r="F1" s="104"/>
      <c r="G1" s="46"/>
      <c r="H1" s="104" t="s">
        <v>2</v>
      </c>
      <c r="I1" s="104"/>
      <c r="J1" s="46"/>
      <c r="K1" s="104" t="s">
        <v>46</v>
      </c>
      <c r="L1" s="104"/>
      <c r="M1" s="46"/>
      <c r="N1" s="104" t="s">
        <v>31</v>
      </c>
      <c r="O1" s="104"/>
      <c r="P1" s="6"/>
      <c r="Q1" s="59" t="s">
        <v>316</v>
      </c>
      <c r="R1" s="59"/>
      <c r="S1" s="59"/>
      <c r="T1"/>
      <c r="U1" s="103" t="s">
        <v>317</v>
      </c>
      <c r="V1" s="103"/>
      <c r="W1" s="103"/>
      <c r="X1" s="103"/>
      <c r="Y1" s="103"/>
      <c r="Z1" s="48"/>
      <c r="AA1" s="26"/>
      <c r="AB1" s="58" t="s">
        <v>328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0"/>
      <c r="AO1"/>
      <c r="AP1"/>
      <c r="AQ1" s="103" t="s">
        <v>327</v>
      </c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</row>
    <row r="2" spans="1:54" s="2" customFormat="1" x14ac:dyDescent="0.2">
      <c r="B2" s="56" t="s">
        <v>26</v>
      </c>
      <c r="C2" s="56"/>
      <c r="D2" s="12"/>
      <c r="E2" s="56" t="s">
        <v>26</v>
      </c>
      <c r="F2" s="56"/>
      <c r="G2" s="6"/>
      <c r="H2" s="56" t="s">
        <v>26</v>
      </c>
      <c r="I2" s="56"/>
      <c r="J2" s="6"/>
      <c r="K2" s="56" t="s">
        <v>26</v>
      </c>
      <c r="L2" s="56"/>
      <c r="M2" s="6"/>
      <c r="N2" s="56" t="s">
        <v>26</v>
      </c>
      <c r="O2" s="56"/>
      <c r="P2" s="6"/>
      <c r="Q2" s="98"/>
      <c r="R2" s="98"/>
      <c r="S2" s="2" t="s">
        <v>322</v>
      </c>
      <c r="T2"/>
      <c r="U2" s="56"/>
      <c r="V2" s="56"/>
      <c r="X2" s="2" t="s">
        <v>318</v>
      </c>
      <c r="Y2" s="2" t="s">
        <v>322</v>
      </c>
      <c r="AA2" s="6"/>
      <c r="AB2" s="56" t="s">
        <v>326</v>
      </c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Q2" s="56" t="s">
        <v>326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</row>
    <row r="3" spans="1:54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K3" s="2" t="s">
        <v>37</v>
      </c>
      <c r="L3" s="2" t="s">
        <v>54</v>
      </c>
      <c r="M3" s="6"/>
      <c r="N3" s="2" t="s">
        <v>37</v>
      </c>
      <c r="O3" s="2" t="s">
        <v>54</v>
      </c>
      <c r="P3" s="6"/>
      <c r="Q3" s="2" t="s">
        <v>17</v>
      </c>
      <c r="R3" s="2" t="s">
        <v>18</v>
      </c>
      <c r="S3" s="2" t="s">
        <v>17</v>
      </c>
      <c r="T3"/>
      <c r="U3" s="2" t="s">
        <v>15</v>
      </c>
      <c r="V3" s="2" t="s">
        <v>17</v>
      </c>
      <c r="W3" s="2" t="s">
        <v>18</v>
      </c>
      <c r="X3" s="2" t="s">
        <v>319</v>
      </c>
      <c r="Y3" s="2" t="s">
        <v>320</v>
      </c>
      <c r="AA3" s="6"/>
      <c r="AB3" s="2" t="s">
        <v>14</v>
      </c>
      <c r="AC3" s="2" t="s">
        <v>72</v>
      </c>
      <c r="AD3" s="2" t="s">
        <v>73</v>
      </c>
      <c r="AE3" s="2" t="s">
        <v>15</v>
      </c>
      <c r="AF3" s="2" t="s">
        <v>74</v>
      </c>
      <c r="AG3" s="2" t="s">
        <v>56</v>
      </c>
      <c r="AH3" s="2" t="s">
        <v>16</v>
      </c>
      <c r="AI3" s="2" t="s">
        <v>17</v>
      </c>
      <c r="AJ3" s="2" t="s">
        <v>75</v>
      </c>
      <c r="AK3" s="2" t="s">
        <v>76</v>
      </c>
      <c r="AL3" s="2" t="s">
        <v>289</v>
      </c>
      <c r="AQ3" s="2" t="s">
        <v>14</v>
      </c>
      <c r="AR3" s="2" t="s">
        <v>72</v>
      </c>
      <c r="AS3" s="2" t="s">
        <v>73</v>
      </c>
      <c r="AT3" s="2" t="s">
        <v>15</v>
      </c>
      <c r="AU3" s="2" t="s">
        <v>74</v>
      </c>
      <c r="AV3" s="2" t="s">
        <v>56</v>
      </c>
      <c r="AW3" s="2" t="s">
        <v>16</v>
      </c>
      <c r="AX3" s="2" t="s">
        <v>17</v>
      </c>
      <c r="AY3" s="2" t="s">
        <v>75</v>
      </c>
      <c r="AZ3" s="2" t="s">
        <v>76</v>
      </c>
      <c r="BA3" s="2" t="s">
        <v>289</v>
      </c>
    </row>
    <row r="4" spans="1:54" s="2" customFormat="1" x14ac:dyDescent="0.2">
      <c r="A4" s="2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K4" s="2" t="s">
        <v>290</v>
      </c>
      <c r="L4" s="2" t="s">
        <v>291</v>
      </c>
      <c r="M4" s="6"/>
      <c r="N4" s="2" t="s">
        <v>290</v>
      </c>
      <c r="O4" s="2" t="s">
        <v>291</v>
      </c>
      <c r="P4" s="6"/>
      <c r="Q4" s="2" t="s">
        <v>291</v>
      </c>
      <c r="T4"/>
      <c r="U4" s="2" t="s">
        <v>290</v>
      </c>
      <c r="V4" s="2" t="s">
        <v>291</v>
      </c>
      <c r="AA4" s="6"/>
      <c r="AM4" s="2" t="s">
        <v>18</v>
      </c>
      <c r="BB4" s="2" t="s">
        <v>18</v>
      </c>
    </row>
    <row r="5" spans="1:54" s="2" customFormat="1" x14ac:dyDescent="0.2">
      <c r="A5" s="2" t="s">
        <v>90</v>
      </c>
      <c r="B5" s="2" t="s">
        <v>92</v>
      </c>
      <c r="C5" s="2" t="s">
        <v>92</v>
      </c>
      <c r="D5" s="6"/>
      <c r="E5" s="2" t="s">
        <v>92</v>
      </c>
      <c r="F5" s="2" t="s">
        <v>92</v>
      </c>
      <c r="G5" s="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  <c r="S5" s="2" t="s">
        <v>153</v>
      </c>
      <c r="T5"/>
      <c r="U5" s="2" t="s">
        <v>92</v>
      </c>
      <c r="V5" s="2" t="s">
        <v>92</v>
      </c>
      <c r="W5" s="2" t="s">
        <v>92</v>
      </c>
      <c r="X5" s="2" t="s">
        <v>153</v>
      </c>
      <c r="Y5" s="2" t="s">
        <v>153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2" t="s">
        <v>92</v>
      </c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</row>
    <row r="6" spans="1:54" x14ac:dyDescent="0.2">
      <c r="A6" s="8">
        <v>1990</v>
      </c>
      <c r="B6">
        <v>8</v>
      </c>
      <c r="C6">
        <v>8</v>
      </c>
      <c r="E6">
        <f>MAX(MAX(K6:K38)*1.2,2000)</f>
        <v>2000</v>
      </c>
      <c r="F6">
        <f>MAX(MAX(L6:L38)*1.2,2000)</f>
        <v>62472</v>
      </c>
      <c r="H6">
        <f>U6</f>
        <v>35</v>
      </c>
      <c r="I6">
        <f t="shared" ref="I6:I37" si="0">SUM(Q6,V6)</f>
        <v>297160</v>
      </c>
      <c r="Q6">
        <v>257161</v>
      </c>
      <c r="R6">
        <v>257207</v>
      </c>
      <c r="S6">
        <f t="shared" ref="S6:S38" si="1">SUM(Q6)/R6</f>
        <v>0.99982115572282249</v>
      </c>
      <c r="U6">
        <v>35</v>
      </c>
      <c r="V6">
        <v>39999</v>
      </c>
      <c r="W6">
        <v>40040</v>
      </c>
      <c r="X6">
        <f t="shared" ref="X6:X38" si="2">U6/W6</f>
        <v>8.7412587412587413E-4</v>
      </c>
      <c r="Y6">
        <f t="shared" ref="Y6:Y38" si="3">V6/W6</f>
        <v>0.99897602397602403</v>
      </c>
    </row>
    <row r="7" spans="1:54" x14ac:dyDescent="0.2">
      <c r="A7" s="8">
        <v>1991</v>
      </c>
      <c r="H7">
        <f t="shared" ref="H7:H37" si="4">U7</f>
        <v>169</v>
      </c>
      <c r="I7">
        <f t="shared" si="0"/>
        <v>316926</v>
      </c>
      <c r="K7">
        <f>H7-H6</f>
        <v>134</v>
      </c>
      <c r="L7">
        <f>I7-I6</f>
        <v>19766</v>
      </c>
      <c r="N7">
        <f>H6+K7-H7</f>
        <v>0</v>
      </c>
      <c r="O7">
        <f>I6+L7-I7</f>
        <v>0</v>
      </c>
      <c r="Q7">
        <v>277328</v>
      </c>
      <c r="R7">
        <v>277510</v>
      </c>
      <c r="S7">
        <f t="shared" si="1"/>
        <v>0.99934416777773771</v>
      </c>
      <c r="U7">
        <v>169</v>
      </c>
      <c r="V7">
        <v>39598</v>
      </c>
      <c r="W7">
        <v>39772</v>
      </c>
      <c r="X7">
        <f t="shared" si="2"/>
        <v>4.2492205571759024E-3</v>
      </c>
      <c r="Y7">
        <f t="shared" si="3"/>
        <v>0.99562506285829222</v>
      </c>
    </row>
    <row r="8" spans="1:54" x14ac:dyDescent="0.2">
      <c r="A8" s="8">
        <v>1992</v>
      </c>
      <c r="H8">
        <f t="shared" si="4"/>
        <v>213</v>
      </c>
      <c r="I8">
        <f t="shared" si="0"/>
        <v>333214</v>
      </c>
      <c r="K8">
        <f t="shared" ref="K8:K20" si="5">H8-H7</f>
        <v>44</v>
      </c>
      <c r="L8">
        <f t="shared" ref="L8:L20" si="6">I8-I7</f>
        <v>16288</v>
      </c>
      <c r="N8">
        <f t="shared" ref="N8:N37" si="7">H7+K8-H8</f>
        <v>0</v>
      </c>
      <c r="O8">
        <f t="shared" ref="O8:O37" si="8">I7+L8-I8</f>
        <v>0</v>
      </c>
      <c r="Q8">
        <v>294345</v>
      </c>
      <c r="R8">
        <v>294562</v>
      </c>
      <c r="S8">
        <f t="shared" si="1"/>
        <v>0.99926331298673965</v>
      </c>
      <c r="U8">
        <v>213</v>
      </c>
      <c r="V8">
        <v>38869</v>
      </c>
      <c r="W8">
        <v>39087</v>
      </c>
      <c r="X8">
        <f t="shared" si="2"/>
        <v>5.4493821475170776E-3</v>
      </c>
      <c r="Y8">
        <f t="shared" si="3"/>
        <v>0.99442269808376182</v>
      </c>
    </row>
    <row r="9" spans="1:54" x14ac:dyDescent="0.2">
      <c r="A9" s="8">
        <v>1993</v>
      </c>
      <c r="H9">
        <f t="shared" si="4"/>
        <v>217</v>
      </c>
      <c r="I9">
        <f t="shared" si="0"/>
        <v>344651</v>
      </c>
      <c r="K9">
        <f t="shared" si="5"/>
        <v>4</v>
      </c>
      <c r="L9">
        <f t="shared" si="6"/>
        <v>11437</v>
      </c>
      <c r="N9">
        <f t="shared" si="7"/>
        <v>0</v>
      </c>
      <c r="O9">
        <f t="shared" si="8"/>
        <v>0</v>
      </c>
      <c r="Q9">
        <v>305896</v>
      </c>
      <c r="R9">
        <v>306154</v>
      </c>
      <c r="S9">
        <f t="shared" si="1"/>
        <v>0.99915728685563476</v>
      </c>
      <c r="U9">
        <v>217</v>
      </c>
      <c r="V9">
        <v>38755</v>
      </c>
      <c r="W9">
        <v>38978</v>
      </c>
      <c r="X9">
        <f t="shared" si="2"/>
        <v>5.5672430601877978E-3</v>
      </c>
      <c r="Y9">
        <f t="shared" si="3"/>
        <v>0.99427882395197287</v>
      </c>
    </row>
    <row r="10" spans="1:54" x14ac:dyDescent="0.2">
      <c r="A10" s="8">
        <v>1994</v>
      </c>
      <c r="H10">
        <f t="shared" si="4"/>
        <v>219</v>
      </c>
      <c r="I10">
        <f t="shared" si="0"/>
        <v>353538</v>
      </c>
      <c r="K10">
        <f t="shared" si="5"/>
        <v>2</v>
      </c>
      <c r="L10">
        <f t="shared" si="6"/>
        <v>8887</v>
      </c>
      <c r="N10">
        <f t="shared" si="7"/>
        <v>0</v>
      </c>
      <c r="O10">
        <f t="shared" si="8"/>
        <v>0</v>
      </c>
      <c r="Q10">
        <v>315556</v>
      </c>
      <c r="R10">
        <v>315829</v>
      </c>
      <c r="S10">
        <f t="shared" si="1"/>
        <v>0.99913560819304115</v>
      </c>
      <c r="U10">
        <v>219</v>
      </c>
      <c r="V10">
        <v>37982</v>
      </c>
      <c r="W10">
        <v>38206</v>
      </c>
      <c r="X10">
        <f t="shared" si="2"/>
        <v>5.7320839658692351E-3</v>
      </c>
      <c r="Y10">
        <f t="shared" si="3"/>
        <v>0.99413704653719315</v>
      </c>
    </row>
    <row r="11" spans="1:54" x14ac:dyDescent="0.2">
      <c r="A11" s="8">
        <v>1995</v>
      </c>
      <c r="H11">
        <f t="shared" si="4"/>
        <v>223</v>
      </c>
      <c r="I11">
        <f t="shared" si="0"/>
        <v>366805</v>
      </c>
      <c r="K11">
        <f t="shared" si="5"/>
        <v>4</v>
      </c>
      <c r="L11">
        <f t="shared" si="6"/>
        <v>13267</v>
      </c>
      <c r="N11">
        <f t="shared" si="7"/>
        <v>0</v>
      </c>
      <c r="O11">
        <f t="shared" si="8"/>
        <v>0</v>
      </c>
      <c r="Q11">
        <v>328898</v>
      </c>
      <c r="R11">
        <v>329193</v>
      </c>
      <c r="S11">
        <f t="shared" si="1"/>
        <v>0.99910386915882177</v>
      </c>
      <c r="U11">
        <v>223</v>
      </c>
      <c r="V11">
        <v>37907</v>
      </c>
      <c r="W11">
        <v>38135</v>
      </c>
      <c r="X11">
        <f t="shared" si="2"/>
        <v>5.8476465189458504E-3</v>
      </c>
      <c r="Y11">
        <f t="shared" si="3"/>
        <v>0.99402124033040518</v>
      </c>
    </row>
    <row r="12" spans="1:54" x14ac:dyDescent="0.2">
      <c r="A12" s="8">
        <v>1996</v>
      </c>
      <c r="H12">
        <f t="shared" si="4"/>
        <v>203</v>
      </c>
      <c r="I12">
        <f t="shared" si="0"/>
        <v>377801</v>
      </c>
      <c r="K12">
        <v>0</v>
      </c>
      <c r="L12">
        <f t="shared" si="6"/>
        <v>10996</v>
      </c>
      <c r="N12">
        <f t="shared" si="7"/>
        <v>20</v>
      </c>
      <c r="O12">
        <f t="shared" si="8"/>
        <v>0</v>
      </c>
      <c r="Q12">
        <v>345002</v>
      </c>
      <c r="R12">
        <v>345295</v>
      </c>
      <c r="S12">
        <f t="shared" si="1"/>
        <v>0.99915145020924134</v>
      </c>
      <c r="U12">
        <v>203</v>
      </c>
      <c r="V12">
        <v>32799</v>
      </c>
      <c r="W12">
        <v>33007</v>
      </c>
      <c r="X12">
        <f t="shared" si="2"/>
        <v>6.1502105613960674E-3</v>
      </c>
      <c r="Y12">
        <f t="shared" si="3"/>
        <v>0.99369830641985035</v>
      </c>
    </row>
    <row r="13" spans="1:54" x14ac:dyDescent="0.2">
      <c r="A13" s="8">
        <v>1997</v>
      </c>
      <c r="H13">
        <f t="shared" si="4"/>
        <v>262</v>
      </c>
      <c r="I13">
        <f t="shared" si="0"/>
        <v>405247</v>
      </c>
      <c r="K13">
        <f t="shared" si="5"/>
        <v>59</v>
      </c>
      <c r="L13">
        <f t="shared" si="6"/>
        <v>27446</v>
      </c>
      <c r="N13">
        <f t="shared" si="7"/>
        <v>0</v>
      </c>
      <c r="O13">
        <f t="shared" si="8"/>
        <v>0</v>
      </c>
      <c r="Q13">
        <v>366919</v>
      </c>
      <c r="R13">
        <v>367289</v>
      </c>
      <c r="S13">
        <f t="shared" si="1"/>
        <v>0.99899261889139068</v>
      </c>
      <c r="U13">
        <v>262</v>
      </c>
      <c r="V13">
        <v>38328</v>
      </c>
      <c r="W13">
        <v>38597</v>
      </c>
      <c r="X13">
        <f t="shared" si="2"/>
        <v>6.7880923387828073E-3</v>
      </c>
      <c r="Y13">
        <f t="shared" si="3"/>
        <v>0.99303054641552457</v>
      </c>
    </row>
    <row r="14" spans="1:54" x14ac:dyDescent="0.2">
      <c r="A14" s="8">
        <v>1998</v>
      </c>
      <c r="H14">
        <f t="shared" si="4"/>
        <v>346</v>
      </c>
      <c r="I14">
        <f t="shared" si="0"/>
        <v>428663</v>
      </c>
      <c r="K14">
        <f t="shared" si="5"/>
        <v>84</v>
      </c>
      <c r="L14">
        <f t="shared" si="6"/>
        <v>23416</v>
      </c>
      <c r="N14">
        <f t="shared" si="7"/>
        <v>0</v>
      </c>
      <c r="O14">
        <f t="shared" si="8"/>
        <v>0</v>
      </c>
      <c r="Q14">
        <v>379006</v>
      </c>
      <c r="R14">
        <v>379387</v>
      </c>
      <c r="S14">
        <f t="shared" si="1"/>
        <v>0.99899574840466332</v>
      </c>
      <c r="U14">
        <v>346</v>
      </c>
      <c r="V14">
        <v>49657</v>
      </c>
      <c r="W14">
        <v>50008</v>
      </c>
      <c r="X14">
        <f t="shared" si="2"/>
        <v>6.91889297712366E-3</v>
      </c>
      <c r="Y14">
        <f t="shared" si="3"/>
        <v>0.99298112302031671</v>
      </c>
    </row>
    <row r="15" spans="1:54" x14ac:dyDescent="0.2">
      <c r="A15" s="8">
        <v>1999</v>
      </c>
      <c r="H15">
        <f t="shared" si="4"/>
        <v>471</v>
      </c>
      <c r="I15">
        <f t="shared" si="0"/>
        <v>457150</v>
      </c>
      <c r="K15">
        <f t="shared" si="5"/>
        <v>125</v>
      </c>
      <c r="L15">
        <f t="shared" si="6"/>
        <v>28487</v>
      </c>
      <c r="N15">
        <f t="shared" si="7"/>
        <v>0</v>
      </c>
      <c r="O15">
        <f t="shared" si="8"/>
        <v>0</v>
      </c>
      <c r="Q15">
        <v>393328</v>
      </c>
      <c r="R15">
        <v>393691</v>
      </c>
      <c r="S15">
        <f t="shared" si="1"/>
        <v>0.99907795707801295</v>
      </c>
      <c r="U15">
        <v>471</v>
      </c>
      <c r="V15">
        <v>63822</v>
      </c>
      <c r="W15">
        <v>64299</v>
      </c>
      <c r="X15">
        <f t="shared" si="2"/>
        <v>7.3251528017543041E-3</v>
      </c>
      <c r="Y15">
        <f t="shared" si="3"/>
        <v>0.99258153314981568</v>
      </c>
    </row>
    <row r="16" spans="1:54" x14ac:dyDescent="0.2">
      <c r="A16" s="8">
        <v>2000</v>
      </c>
      <c r="H16">
        <f t="shared" si="4"/>
        <v>544</v>
      </c>
      <c r="I16">
        <f t="shared" si="0"/>
        <v>485863</v>
      </c>
      <c r="K16">
        <f t="shared" si="5"/>
        <v>73</v>
      </c>
      <c r="L16">
        <f t="shared" si="6"/>
        <v>28713</v>
      </c>
      <c r="N16">
        <f t="shared" si="7"/>
        <v>0</v>
      </c>
      <c r="O16">
        <f t="shared" si="8"/>
        <v>0</v>
      </c>
      <c r="Q16">
        <v>406877</v>
      </c>
      <c r="R16">
        <v>407210</v>
      </c>
      <c r="S16">
        <f t="shared" si="1"/>
        <v>0.99918224012180445</v>
      </c>
      <c r="U16">
        <v>544</v>
      </c>
      <c r="V16">
        <v>78986</v>
      </c>
      <c r="W16">
        <v>79536</v>
      </c>
      <c r="X16">
        <f t="shared" si="2"/>
        <v>6.8396700865017103E-3</v>
      </c>
      <c r="Y16">
        <f t="shared" si="3"/>
        <v>0.99308489237577957</v>
      </c>
    </row>
    <row r="17" spans="1:53" x14ac:dyDescent="0.2">
      <c r="A17" s="8">
        <v>2001</v>
      </c>
      <c r="H17">
        <f t="shared" si="4"/>
        <v>623</v>
      </c>
      <c r="I17">
        <f t="shared" si="0"/>
        <v>512362</v>
      </c>
      <c r="K17">
        <f t="shared" si="5"/>
        <v>79</v>
      </c>
      <c r="L17">
        <f t="shared" si="6"/>
        <v>26499</v>
      </c>
      <c r="N17">
        <f t="shared" si="7"/>
        <v>0</v>
      </c>
      <c r="O17">
        <f t="shared" si="8"/>
        <v>0</v>
      </c>
      <c r="Q17">
        <v>418954</v>
      </c>
      <c r="R17">
        <v>419259</v>
      </c>
      <c r="S17">
        <f t="shared" si="1"/>
        <v>0.99927252605191541</v>
      </c>
      <c r="U17">
        <v>623</v>
      </c>
      <c r="V17">
        <v>93408</v>
      </c>
      <c r="W17">
        <v>94042</v>
      </c>
      <c r="X17">
        <f t="shared" si="2"/>
        <v>6.6246996023053527E-3</v>
      </c>
      <c r="Y17">
        <f t="shared" si="3"/>
        <v>0.99325833138384978</v>
      </c>
    </row>
    <row r="18" spans="1:53" x14ac:dyDescent="0.2">
      <c r="A18" s="8">
        <v>2002</v>
      </c>
      <c r="H18">
        <f t="shared" si="4"/>
        <v>729</v>
      </c>
      <c r="I18">
        <f t="shared" si="0"/>
        <v>534866</v>
      </c>
      <c r="K18">
        <f t="shared" si="5"/>
        <v>106</v>
      </c>
      <c r="L18">
        <f t="shared" si="6"/>
        <v>22504</v>
      </c>
      <c r="N18">
        <f t="shared" si="7"/>
        <v>0</v>
      </c>
      <c r="O18">
        <f t="shared" si="8"/>
        <v>0</v>
      </c>
      <c r="Q18">
        <v>428989</v>
      </c>
      <c r="R18">
        <v>429191</v>
      </c>
      <c r="S18">
        <f t="shared" si="1"/>
        <v>0.9995293470739135</v>
      </c>
      <c r="U18">
        <v>729</v>
      </c>
      <c r="V18">
        <v>105877</v>
      </c>
      <c r="W18">
        <v>106612</v>
      </c>
      <c r="X18">
        <f t="shared" si="2"/>
        <v>6.8378794131992646E-3</v>
      </c>
      <c r="Y18">
        <f t="shared" si="3"/>
        <v>0.99310584174389371</v>
      </c>
    </row>
    <row r="19" spans="1:53" x14ac:dyDescent="0.2">
      <c r="A19" s="8">
        <v>2003</v>
      </c>
      <c r="H19">
        <f t="shared" si="4"/>
        <v>816</v>
      </c>
      <c r="I19">
        <f t="shared" si="0"/>
        <v>555684</v>
      </c>
      <c r="K19">
        <f t="shared" si="5"/>
        <v>87</v>
      </c>
      <c r="L19">
        <f t="shared" si="6"/>
        <v>20818</v>
      </c>
      <c r="N19">
        <f t="shared" si="7"/>
        <v>0</v>
      </c>
      <c r="O19">
        <f t="shared" si="8"/>
        <v>0</v>
      </c>
      <c r="Q19">
        <v>454259</v>
      </c>
      <c r="R19">
        <v>454464</v>
      </c>
      <c r="S19">
        <f t="shared" si="1"/>
        <v>0.99954891916631461</v>
      </c>
      <c r="U19">
        <v>816</v>
      </c>
      <c r="V19">
        <v>101425</v>
      </c>
      <c r="W19">
        <v>102354</v>
      </c>
      <c r="X19">
        <f t="shared" si="2"/>
        <v>7.9723313207104747E-3</v>
      </c>
      <c r="Y19">
        <f t="shared" si="3"/>
        <v>0.99092365711159314</v>
      </c>
    </row>
    <row r="20" spans="1:53" x14ac:dyDescent="0.2">
      <c r="A20" s="8">
        <v>2004</v>
      </c>
      <c r="H20">
        <f t="shared" si="4"/>
        <v>908</v>
      </c>
      <c r="I20">
        <f t="shared" si="0"/>
        <v>569668</v>
      </c>
      <c r="K20">
        <f t="shared" si="5"/>
        <v>92</v>
      </c>
      <c r="L20">
        <f t="shared" si="6"/>
        <v>13984</v>
      </c>
      <c r="N20">
        <f t="shared" si="7"/>
        <v>0</v>
      </c>
      <c r="O20">
        <f t="shared" si="8"/>
        <v>0</v>
      </c>
      <c r="Q20">
        <v>482179</v>
      </c>
      <c r="R20">
        <v>482418</v>
      </c>
      <c r="S20">
        <f t="shared" si="1"/>
        <v>0.99950457901653755</v>
      </c>
      <c r="U20">
        <v>908</v>
      </c>
      <c r="V20">
        <v>87489</v>
      </c>
      <c r="W20">
        <v>88548</v>
      </c>
      <c r="X20">
        <f t="shared" si="2"/>
        <v>1.0254325337669965E-2</v>
      </c>
      <c r="Y20">
        <f t="shared" si="3"/>
        <v>0.98804038487599943</v>
      </c>
    </row>
    <row r="21" spans="1:53" x14ac:dyDescent="0.2">
      <c r="A21" s="2">
        <v>2005</v>
      </c>
      <c r="H21">
        <f t="shared" si="4"/>
        <v>931</v>
      </c>
      <c r="I21">
        <f t="shared" si="0"/>
        <v>576668</v>
      </c>
      <c r="K21">
        <f>AT21</f>
        <v>104</v>
      </c>
      <c r="L21">
        <f>SUM(AI21,AX21)</f>
        <v>43143</v>
      </c>
      <c r="N21">
        <f t="shared" si="7"/>
        <v>81</v>
      </c>
      <c r="O21">
        <f t="shared" si="8"/>
        <v>36143</v>
      </c>
      <c r="Q21">
        <v>498719</v>
      </c>
      <c r="R21">
        <v>499467</v>
      </c>
      <c r="S21">
        <f t="shared" si="1"/>
        <v>0.99850240356219733</v>
      </c>
      <c r="U21">
        <v>931</v>
      </c>
      <c r="V21">
        <v>77949</v>
      </c>
      <c r="W21">
        <v>79044</v>
      </c>
      <c r="X21">
        <f t="shared" si="2"/>
        <v>1.1778250088558271E-2</v>
      </c>
      <c r="Y21">
        <f t="shared" si="3"/>
        <v>0.98614695612570213</v>
      </c>
      <c r="AB21">
        <v>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63</v>
      </c>
      <c r="AI21">
        <v>40169</v>
      </c>
      <c r="AJ21">
        <v>0</v>
      </c>
      <c r="AK21">
        <v>0</v>
      </c>
      <c r="AL21">
        <v>0</v>
      </c>
      <c r="AQ21">
        <v>1</v>
      </c>
      <c r="AR21">
        <v>0</v>
      </c>
      <c r="AS21">
        <v>0</v>
      </c>
      <c r="AT21">
        <v>104</v>
      </c>
      <c r="AU21">
        <v>0</v>
      </c>
      <c r="AV21">
        <v>0</v>
      </c>
      <c r="AW21">
        <v>7</v>
      </c>
      <c r="AX21">
        <v>2974</v>
      </c>
      <c r="AY21">
        <v>0</v>
      </c>
      <c r="AZ21">
        <v>0</v>
      </c>
      <c r="BA21">
        <v>0</v>
      </c>
    </row>
    <row r="22" spans="1:53" x14ac:dyDescent="0.2">
      <c r="A22" s="2">
        <v>2006</v>
      </c>
      <c r="H22">
        <f t="shared" si="4"/>
        <v>937</v>
      </c>
      <c r="I22">
        <f t="shared" si="0"/>
        <v>592676</v>
      </c>
      <c r="K22">
        <f t="shared" ref="K22:K37" si="9">AT22</f>
        <v>51</v>
      </c>
      <c r="L22">
        <f t="shared" ref="L22:L37" si="10">SUM(AI22,AX22)</f>
        <v>43573</v>
      </c>
      <c r="N22">
        <f t="shared" si="7"/>
        <v>45</v>
      </c>
      <c r="O22">
        <f t="shared" si="8"/>
        <v>27565</v>
      </c>
      <c r="Q22">
        <v>520148</v>
      </c>
      <c r="R22">
        <v>520949</v>
      </c>
      <c r="S22">
        <f t="shared" si="1"/>
        <v>0.99846242146544095</v>
      </c>
      <c r="U22">
        <v>937</v>
      </c>
      <c r="V22">
        <v>72528</v>
      </c>
      <c r="W22">
        <v>73516</v>
      </c>
      <c r="X22">
        <f t="shared" si="2"/>
        <v>1.2745524783720551E-2</v>
      </c>
      <c r="Y22">
        <f t="shared" si="3"/>
        <v>0.98656074868055932</v>
      </c>
      <c r="AB22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44</v>
      </c>
      <c r="AI22">
        <v>40616</v>
      </c>
      <c r="AJ22">
        <v>1</v>
      </c>
      <c r="AK22">
        <v>0</v>
      </c>
      <c r="AL22">
        <v>0</v>
      </c>
      <c r="AQ22">
        <v>0</v>
      </c>
      <c r="AR22">
        <v>0</v>
      </c>
      <c r="AS22">
        <v>0</v>
      </c>
      <c r="AT22">
        <v>51</v>
      </c>
      <c r="AU22">
        <v>0</v>
      </c>
      <c r="AV22">
        <v>0</v>
      </c>
      <c r="AW22">
        <v>6</v>
      </c>
      <c r="AX22">
        <v>2957</v>
      </c>
      <c r="AY22">
        <v>0</v>
      </c>
      <c r="AZ22">
        <v>0</v>
      </c>
      <c r="BA22">
        <v>0</v>
      </c>
    </row>
    <row r="23" spans="1:53" x14ac:dyDescent="0.2">
      <c r="A23" s="2">
        <v>2007</v>
      </c>
      <c r="H23">
        <f t="shared" si="4"/>
        <v>946</v>
      </c>
      <c r="I23">
        <f t="shared" si="0"/>
        <v>601297</v>
      </c>
      <c r="K23">
        <f t="shared" si="9"/>
        <v>103</v>
      </c>
      <c r="L23">
        <f t="shared" si="10"/>
        <v>45741</v>
      </c>
      <c r="N23">
        <f t="shared" si="7"/>
        <v>94</v>
      </c>
      <c r="O23">
        <f t="shared" si="8"/>
        <v>37120</v>
      </c>
      <c r="Q23">
        <v>535111</v>
      </c>
      <c r="R23">
        <v>536334</v>
      </c>
      <c r="S23">
        <f t="shared" si="1"/>
        <v>0.99771970451248659</v>
      </c>
      <c r="U23">
        <v>946</v>
      </c>
      <c r="V23">
        <v>66186</v>
      </c>
      <c r="W23">
        <v>67206</v>
      </c>
      <c r="X23">
        <f t="shared" si="2"/>
        <v>1.4076124155581347E-2</v>
      </c>
      <c r="Y23">
        <f t="shared" si="3"/>
        <v>0.98482278368002862</v>
      </c>
      <c r="AB23">
        <v>11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18</v>
      </c>
      <c r="AI23">
        <v>43109</v>
      </c>
      <c r="AJ23">
        <v>0</v>
      </c>
      <c r="AK23">
        <v>1</v>
      </c>
      <c r="AL23">
        <v>0</v>
      </c>
      <c r="AQ23">
        <v>1</v>
      </c>
      <c r="AR23">
        <v>0</v>
      </c>
      <c r="AS23">
        <v>0</v>
      </c>
      <c r="AT23">
        <v>103</v>
      </c>
      <c r="AU23">
        <v>0</v>
      </c>
      <c r="AV23">
        <v>0</v>
      </c>
      <c r="AW23">
        <v>2</v>
      </c>
      <c r="AX23">
        <v>2632</v>
      </c>
      <c r="AY23">
        <v>0</v>
      </c>
      <c r="AZ23">
        <v>0</v>
      </c>
      <c r="BA23">
        <v>0</v>
      </c>
    </row>
    <row r="24" spans="1:53" x14ac:dyDescent="0.2">
      <c r="A24" s="2">
        <v>2008</v>
      </c>
      <c r="H24">
        <f t="shared" si="4"/>
        <v>1179</v>
      </c>
      <c r="I24">
        <f t="shared" si="0"/>
        <v>616942</v>
      </c>
      <c r="K24">
        <f t="shared" si="9"/>
        <v>329</v>
      </c>
      <c r="L24">
        <f t="shared" si="10"/>
        <v>46472</v>
      </c>
      <c r="N24">
        <f t="shared" si="7"/>
        <v>96</v>
      </c>
      <c r="O24">
        <f t="shared" si="8"/>
        <v>30827</v>
      </c>
      <c r="Q24">
        <v>554513</v>
      </c>
      <c r="R24">
        <v>555951</v>
      </c>
      <c r="S24">
        <f t="shared" si="1"/>
        <v>0.99741344111261609</v>
      </c>
      <c r="U24">
        <v>1179</v>
      </c>
      <c r="V24">
        <v>62429</v>
      </c>
      <c r="W24">
        <v>63663</v>
      </c>
      <c r="X24">
        <f t="shared" si="2"/>
        <v>1.8519391169124922E-2</v>
      </c>
      <c r="Y24">
        <f t="shared" si="3"/>
        <v>0.9806166847305342</v>
      </c>
      <c r="AB24">
        <v>5</v>
      </c>
      <c r="AC24">
        <v>0</v>
      </c>
      <c r="AD24">
        <v>0</v>
      </c>
      <c r="AE24">
        <v>95</v>
      </c>
      <c r="AF24">
        <v>0</v>
      </c>
      <c r="AG24">
        <v>0</v>
      </c>
      <c r="AH24">
        <v>2</v>
      </c>
      <c r="AI24">
        <v>43676</v>
      </c>
      <c r="AJ24">
        <v>1</v>
      </c>
      <c r="AK24">
        <v>0</v>
      </c>
      <c r="AL24">
        <v>0</v>
      </c>
      <c r="AQ24">
        <v>0</v>
      </c>
      <c r="AR24">
        <v>0</v>
      </c>
      <c r="AS24">
        <v>0</v>
      </c>
      <c r="AT24">
        <v>329</v>
      </c>
      <c r="AU24">
        <v>0</v>
      </c>
      <c r="AV24">
        <v>0</v>
      </c>
      <c r="AW24">
        <v>0</v>
      </c>
      <c r="AX24">
        <v>2796</v>
      </c>
      <c r="AY24">
        <v>2</v>
      </c>
      <c r="AZ24">
        <v>0</v>
      </c>
      <c r="BA24">
        <v>0</v>
      </c>
    </row>
    <row r="25" spans="1:53" x14ac:dyDescent="0.2">
      <c r="A25" s="2">
        <v>2009</v>
      </c>
      <c r="H25">
        <f t="shared" si="4"/>
        <v>1537</v>
      </c>
      <c r="I25">
        <f t="shared" si="0"/>
        <v>622997</v>
      </c>
      <c r="K25">
        <f t="shared" si="9"/>
        <v>518</v>
      </c>
      <c r="L25">
        <f t="shared" si="10"/>
        <v>42574</v>
      </c>
      <c r="N25">
        <f t="shared" si="7"/>
        <v>160</v>
      </c>
      <c r="O25">
        <f t="shared" si="8"/>
        <v>36519</v>
      </c>
      <c r="Q25">
        <v>567258</v>
      </c>
      <c r="R25">
        <v>567831</v>
      </c>
      <c r="S25">
        <f t="shared" si="1"/>
        <v>0.99899089693940624</v>
      </c>
      <c r="U25">
        <v>1537</v>
      </c>
      <c r="V25">
        <v>55739</v>
      </c>
      <c r="W25">
        <v>57308</v>
      </c>
      <c r="X25">
        <f t="shared" si="2"/>
        <v>2.6819990228240387E-2</v>
      </c>
      <c r="Y25">
        <f t="shared" si="3"/>
        <v>0.97262162350806169</v>
      </c>
      <c r="AB25">
        <v>5</v>
      </c>
      <c r="AC25">
        <v>0</v>
      </c>
      <c r="AD25">
        <v>0</v>
      </c>
      <c r="AE25">
        <v>167</v>
      </c>
      <c r="AF25">
        <v>0</v>
      </c>
      <c r="AG25">
        <v>0</v>
      </c>
      <c r="AH25">
        <v>0</v>
      </c>
      <c r="AI25">
        <v>40229</v>
      </c>
      <c r="AJ25">
        <v>2</v>
      </c>
      <c r="AK25">
        <v>0</v>
      </c>
      <c r="AL25">
        <v>0</v>
      </c>
      <c r="AQ25">
        <v>0</v>
      </c>
      <c r="AR25">
        <v>0</v>
      </c>
      <c r="AS25">
        <v>0</v>
      </c>
      <c r="AT25">
        <v>518</v>
      </c>
      <c r="AU25">
        <v>0</v>
      </c>
      <c r="AV25">
        <v>0</v>
      </c>
      <c r="AW25">
        <v>0</v>
      </c>
      <c r="AX25">
        <v>2345</v>
      </c>
      <c r="AY25">
        <v>0</v>
      </c>
      <c r="AZ25">
        <v>0</v>
      </c>
      <c r="BA25">
        <v>0</v>
      </c>
    </row>
    <row r="26" spans="1:53" x14ac:dyDescent="0.2">
      <c r="A26" s="2">
        <v>2010</v>
      </c>
      <c r="H26">
        <f t="shared" si="4"/>
        <v>2234</v>
      </c>
      <c r="I26">
        <f t="shared" si="0"/>
        <v>629779</v>
      </c>
      <c r="K26">
        <f t="shared" si="9"/>
        <v>1054</v>
      </c>
      <c r="L26">
        <f t="shared" si="10"/>
        <v>40088</v>
      </c>
      <c r="N26">
        <f t="shared" si="7"/>
        <v>357</v>
      </c>
      <c r="O26">
        <f t="shared" si="8"/>
        <v>33306</v>
      </c>
      <c r="Q26">
        <v>579938</v>
      </c>
      <c r="R26">
        <v>580657</v>
      </c>
      <c r="S26">
        <f t="shared" si="1"/>
        <v>0.99876174746881552</v>
      </c>
      <c r="U26">
        <v>2234</v>
      </c>
      <c r="V26">
        <v>49841</v>
      </c>
      <c r="W26">
        <v>52102</v>
      </c>
      <c r="X26">
        <f t="shared" si="2"/>
        <v>4.2877432728110246E-2</v>
      </c>
      <c r="Y26">
        <f t="shared" si="3"/>
        <v>0.95660435299988489</v>
      </c>
      <c r="AB26">
        <v>5</v>
      </c>
      <c r="AC26">
        <v>0</v>
      </c>
      <c r="AD26">
        <v>0</v>
      </c>
      <c r="AE26">
        <v>155</v>
      </c>
      <c r="AF26">
        <v>0</v>
      </c>
      <c r="AG26">
        <v>0</v>
      </c>
      <c r="AH26">
        <v>0</v>
      </c>
      <c r="AI26">
        <v>38045</v>
      </c>
      <c r="AJ26">
        <v>31</v>
      </c>
      <c r="AK26">
        <v>0</v>
      </c>
      <c r="AL26">
        <v>0</v>
      </c>
      <c r="AQ26">
        <v>0</v>
      </c>
      <c r="AR26">
        <v>0</v>
      </c>
      <c r="AS26">
        <v>0</v>
      </c>
      <c r="AT26">
        <v>1054</v>
      </c>
      <c r="AU26">
        <v>0</v>
      </c>
      <c r="AV26">
        <v>0</v>
      </c>
      <c r="AW26">
        <v>1</v>
      </c>
      <c r="AX26">
        <v>2043</v>
      </c>
      <c r="AY26">
        <v>1</v>
      </c>
      <c r="AZ26">
        <v>0</v>
      </c>
      <c r="BA26">
        <v>0</v>
      </c>
    </row>
    <row r="27" spans="1:53" x14ac:dyDescent="0.2">
      <c r="A27" s="2">
        <v>2011</v>
      </c>
      <c r="H27">
        <f t="shared" si="4"/>
        <v>3191</v>
      </c>
      <c r="I27">
        <f t="shared" si="0"/>
        <v>641810</v>
      </c>
      <c r="K27">
        <f t="shared" si="9"/>
        <v>985</v>
      </c>
      <c r="L27">
        <f t="shared" si="10"/>
        <v>44018</v>
      </c>
      <c r="N27">
        <f t="shared" si="7"/>
        <v>28</v>
      </c>
      <c r="O27">
        <f t="shared" si="8"/>
        <v>31987</v>
      </c>
      <c r="Q27">
        <v>597092</v>
      </c>
      <c r="R27">
        <v>597933</v>
      </c>
      <c r="S27">
        <f t="shared" si="1"/>
        <v>0.99859348789914593</v>
      </c>
      <c r="U27">
        <v>3191</v>
      </c>
      <c r="V27">
        <v>44718</v>
      </c>
      <c r="W27">
        <v>47936</v>
      </c>
      <c r="X27">
        <f t="shared" si="2"/>
        <v>6.6567923898531375E-2</v>
      </c>
      <c r="Y27">
        <f t="shared" si="3"/>
        <v>0.93286882510013347</v>
      </c>
      <c r="AB27">
        <v>9</v>
      </c>
      <c r="AC27">
        <v>0</v>
      </c>
      <c r="AD27">
        <v>0</v>
      </c>
      <c r="AE27">
        <v>216</v>
      </c>
      <c r="AF27">
        <v>1</v>
      </c>
      <c r="AG27">
        <v>0</v>
      </c>
      <c r="AH27">
        <v>3</v>
      </c>
      <c r="AI27">
        <v>42696</v>
      </c>
      <c r="AJ27">
        <v>8</v>
      </c>
      <c r="AK27">
        <v>0</v>
      </c>
      <c r="AL27">
        <v>0</v>
      </c>
      <c r="AQ27">
        <v>1</v>
      </c>
      <c r="AR27">
        <v>0</v>
      </c>
      <c r="AS27">
        <v>0</v>
      </c>
      <c r="AT27">
        <v>985</v>
      </c>
      <c r="AU27">
        <v>0</v>
      </c>
      <c r="AV27">
        <v>0</v>
      </c>
      <c r="AW27">
        <v>0</v>
      </c>
      <c r="AX27">
        <v>1322</v>
      </c>
      <c r="AY27">
        <v>0</v>
      </c>
      <c r="AZ27">
        <v>0</v>
      </c>
      <c r="BA27">
        <v>0</v>
      </c>
    </row>
    <row r="28" spans="1:53" x14ac:dyDescent="0.2">
      <c r="A28" s="2">
        <v>2012</v>
      </c>
      <c r="H28">
        <f t="shared" si="4"/>
        <v>3900</v>
      </c>
      <c r="I28">
        <f t="shared" si="0"/>
        <v>652504</v>
      </c>
      <c r="K28">
        <f t="shared" si="9"/>
        <v>871</v>
      </c>
      <c r="L28">
        <f t="shared" si="10"/>
        <v>45260</v>
      </c>
      <c r="N28">
        <f t="shared" si="7"/>
        <v>162</v>
      </c>
      <c r="O28">
        <f t="shared" si="8"/>
        <v>34566</v>
      </c>
      <c r="Q28">
        <v>613047</v>
      </c>
      <c r="R28">
        <v>614115</v>
      </c>
      <c r="S28">
        <f t="shared" si="1"/>
        <v>0.99826091204416112</v>
      </c>
      <c r="U28">
        <v>3900</v>
      </c>
      <c r="V28">
        <v>39457</v>
      </c>
      <c r="W28">
        <v>43384</v>
      </c>
      <c r="X28">
        <f t="shared" si="2"/>
        <v>8.9894892126129444E-2</v>
      </c>
      <c r="Y28">
        <f t="shared" si="3"/>
        <v>0.90948275862068961</v>
      </c>
      <c r="AB28">
        <v>1</v>
      </c>
      <c r="AC28">
        <v>0</v>
      </c>
      <c r="AD28">
        <v>0</v>
      </c>
      <c r="AE28">
        <v>279</v>
      </c>
      <c r="AF28">
        <v>0</v>
      </c>
      <c r="AG28">
        <v>0</v>
      </c>
      <c r="AH28">
        <v>3</v>
      </c>
      <c r="AI28">
        <v>44259</v>
      </c>
      <c r="AJ28">
        <v>3</v>
      </c>
      <c r="AK28">
        <v>0</v>
      </c>
      <c r="AL28">
        <v>0</v>
      </c>
      <c r="AQ28">
        <v>0</v>
      </c>
      <c r="AR28">
        <v>2</v>
      </c>
      <c r="AS28">
        <v>0</v>
      </c>
      <c r="AT28">
        <v>871</v>
      </c>
      <c r="AU28">
        <v>0</v>
      </c>
      <c r="AV28">
        <v>0</v>
      </c>
      <c r="AW28">
        <v>0</v>
      </c>
      <c r="AX28">
        <v>1001</v>
      </c>
      <c r="AY28">
        <v>0</v>
      </c>
      <c r="AZ28">
        <v>0</v>
      </c>
      <c r="BA28">
        <v>0</v>
      </c>
    </row>
    <row r="29" spans="1:53" x14ac:dyDescent="0.2">
      <c r="A29" s="2">
        <v>2013</v>
      </c>
      <c r="H29">
        <f t="shared" si="4"/>
        <v>3665</v>
      </c>
      <c r="I29">
        <f t="shared" si="0"/>
        <v>658705</v>
      </c>
      <c r="K29">
        <f t="shared" si="9"/>
        <v>358</v>
      </c>
      <c r="L29">
        <f t="shared" si="10"/>
        <v>43401</v>
      </c>
      <c r="N29">
        <f t="shared" si="7"/>
        <v>593</v>
      </c>
      <c r="O29">
        <f t="shared" si="8"/>
        <v>37200</v>
      </c>
      <c r="Q29">
        <v>624129</v>
      </c>
      <c r="R29">
        <v>625265</v>
      </c>
      <c r="S29">
        <f t="shared" si="1"/>
        <v>0.99818317033577764</v>
      </c>
      <c r="U29">
        <v>3665</v>
      </c>
      <c r="V29">
        <v>34576</v>
      </c>
      <c r="W29">
        <v>38263</v>
      </c>
      <c r="X29">
        <f t="shared" si="2"/>
        <v>9.578443927554034E-2</v>
      </c>
      <c r="Y29">
        <f t="shared" si="3"/>
        <v>0.90364059273972241</v>
      </c>
      <c r="AB29">
        <v>0</v>
      </c>
      <c r="AC29">
        <v>0</v>
      </c>
      <c r="AD29">
        <v>0</v>
      </c>
      <c r="AE29">
        <v>172</v>
      </c>
      <c r="AF29">
        <v>1</v>
      </c>
      <c r="AG29">
        <v>0</v>
      </c>
      <c r="AH29">
        <v>0</v>
      </c>
      <c r="AI29">
        <v>42631</v>
      </c>
      <c r="AJ29">
        <v>0</v>
      </c>
      <c r="AK29">
        <v>0</v>
      </c>
      <c r="AL29">
        <v>0</v>
      </c>
      <c r="AQ29">
        <v>2</v>
      </c>
      <c r="AR29">
        <v>0</v>
      </c>
      <c r="AS29">
        <v>0</v>
      </c>
      <c r="AT29">
        <v>358</v>
      </c>
      <c r="AU29">
        <v>0</v>
      </c>
      <c r="AV29">
        <v>0</v>
      </c>
      <c r="AW29">
        <v>0</v>
      </c>
      <c r="AX29">
        <v>770</v>
      </c>
      <c r="AY29">
        <v>0</v>
      </c>
      <c r="AZ29">
        <v>0</v>
      </c>
      <c r="BA29">
        <v>0</v>
      </c>
    </row>
    <row r="30" spans="1:53" x14ac:dyDescent="0.2">
      <c r="A30" s="2">
        <v>2014</v>
      </c>
      <c r="H30">
        <f t="shared" si="4"/>
        <v>3503</v>
      </c>
      <c r="I30">
        <f t="shared" si="0"/>
        <v>667949</v>
      </c>
      <c r="K30">
        <f t="shared" si="9"/>
        <v>305</v>
      </c>
      <c r="L30">
        <f t="shared" si="10"/>
        <v>43929</v>
      </c>
      <c r="N30">
        <f t="shared" si="7"/>
        <v>467</v>
      </c>
      <c r="O30">
        <f t="shared" si="8"/>
        <v>34685</v>
      </c>
      <c r="Q30">
        <v>637912</v>
      </c>
      <c r="R30">
        <v>639119</v>
      </c>
      <c r="S30">
        <f t="shared" si="1"/>
        <v>0.9981114628105251</v>
      </c>
      <c r="U30">
        <v>3503</v>
      </c>
      <c r="V30">
        <v>30037</v>
      </c>
      <c r="W30">
        <v>33567</v>
      </c>
      <c r="X30">
        <f t="shared" si="2"/>
        <v>0.1043584472845354</v>
      </c>
      <c r="Y30">
        <f t="shared" si="3"/>
        <v>0.89483719128906369</v>
      </c>
      <c r="AB30">
        <v>2</v>
      </c>
      <c r="AC30">
        <v>0</v>
      </c>
      <c r="AD30">
        <v>0</v>
      </c>
      <c r="AE30">
        <v>191</v>
      </c>
      <c r="AF30">
        <v>0</v>
      </c>
      <c r="AG30">
        <v>0</v>
      </c>
      <c r="AH30">
        <v>0</v>
      </c>
      <c r="AI30">
        <v>43370</v>
      </c>
      <c r="AJ30">
        <v>2</v>
      </c>
      <c r="AK30">
        <v>0</v>
      </c>
      <c r="AL30">
        <v>0</v>
      </c>
      <c r="AQ30">
        <v>0</v>
      </c>
      <c r="AR30">
        <v>0</v>
      </c>
      <c r="AS30">
        <v>0</v>
      </c>
      <c r="AT30">
        <v>305</v>
      </c>
      <c r="AU30">
        <v>0</v>
      </c>
      <c r="AV30">
        <v>0</v>
      </c>
      <c r="AW30">
        <v>0</v>
      </c>
      <c r="AX30">
        <v>559</v>
      </c>
      <c r="AY30">
        <v>1</v>
      </c>
      <c r="AZ30">
        <v>0</v>
      </c>
      <c r="BA30">
        <v>0</v>
      </c>
    </row>
    <row r="31" spans="1:53" x14ac:dyDescent="0.2">
      <c r="A31" s="2">
        <v>2015</v>
      </c>
      <c r="H31">
        <f t="shared" si="4"/>
        <v>2886</v>
      </c>
      <c r="I31">
        <f t="shared" si="0"/>
        <v>677190</v>
      </c>
      <c r="K31">
        <f t="shared" si="9"/>
        <v>308</v>
      </c>
      <c r="L31">
        <f t="shared" si="10"/>
        <v>47991</v>
      </c>
      <c r="N31">
        <f t="shared" si="7"/>
        <v>925</v>
      </c>
      <c r="O31">
        <f t="shared" si="8"/>
        <v>38750</v>
      </c>
      <c r="Q31">
        <v>651399</v>
      </c>
      <c r="R31">
        <v>652683</v>
      </c>
      <c r="S31">
        <f t="shared" si="1"/>
        <v>0.99803273564655426</v>
      </c>
      <c r="U31">
        <v>2886</v>
      </c>
      <c r="V31">
        <v>25791</v>
      </c>
      <c r="W31">
        <v>28701</v>
      </c>
      <c r="X31">
        <f t="shared" si="2"/>
        <v>0.10055398766593499</v>
      </c>
      <c r="Y31">
        <f t="shared" si="3"/>
        <v>0.89860980453642725</v>
      </c>
      <c r="AB31">
        <v>0</v>
      </c>
      <c r="AC31">
        <v>0</v>
      </c>
      <c r="AD31">
        <v>0</v>
      </c>
      <c r="AE31">
        <v>190</v>
      </c>
      <c r="AF31">
        <v>0</v>
      </c>
      <c r="AG31">
        <v>0</v>
      </c>
      <c r="AH31">
        <v>1</v>
      </c>
      <c r="AI31">
        <v>47469</v>
      </c>
      <c r="AJ31">
        <v>1</v>
      </c>
      <c r="AK31">
        <v>0</v>
      </c>
      <c r="AL31">
        <v>0</v>
      </c>
      <c r="AQ31">
        <v>0</v>
      </c>
      <c r="AR31">
        <v>0</v>
      </c>
      <c r="AS31">
        <v>0</v>
      </c>
      <c r="AT31">
        <v>308</v>
      </c>
      <c r="AU31">
        <v>0</v>
      </c>
      <c r="AV31">
        <v>0</v>
      </c>
      <c r="AW31">
        <v>0</v>
      </c>
      <c r="AX31">
        <v>522</v>
      </c>
      <c r="AY31">
        <v>0</v>
      </c>
      <c r="AZ31">
        <v>0</v>
      </c>
      <c r="BA31">
        <v>0</v>
      </c>
    </row>
    <row r="32" spans="1:53" x14ac:dyDescent="0.2">
      <c r="A32" s="2">
        <v>2016</v>
      </c>
      <c r="H32">
        <f t="shared" si="4"/>
        <v>2283</v>
      </c>
      <c r="I32">
        <f t="shared" si="0"/>
        <v>686388</v>
      </c>
      <c r="K32">
        <f t="shared" si="9"/>
        <v>282</v>
      </c>
      <c r="L32">
        <f t="shared" si="10"/>
        <v>44758</v>
      </c>
      <c r="N32">
        <f t="shared" si="7"/>
        <v>885</v>
      </c>
      <c r="O32">
        <f t="shared" si="8"/>
        <v>35560</v>
      </c>
      <c r="Q32">
        <v>663438</v>
      </c>
      <c r="R32">
        <v>664954</v>
      </c>
      <c r="S32">
        <f t="shared" si="1"/>
        <v>0.99772014304748902</v>
      </c>
      <c r="U32">
        <v>2283</v>
      </c>
      <c r="V32">
        <v>22950</v>
      </c>
      <c r="W32">
        <v>25251</v>
      </c>
      <c r="X32">
        <f t="shared" si="2"/>
        <v>9.04122609005584E-2</v>
      </c>
      <c r="Y32">
        <f t="shared" si="3"/>
        <v>0.90887489604372107</v>
      </c>
      <c r="AB32">
        <v>2</v>
      </c>
      <c r="AC32">
        <v>0</v>
      </c>
      <c r="AD32">
        <v>0</v>
      </c>
      <c r="AE32">
        <v>368</v>
      </c>
      <c r="AF32">
        <v>0</v>
      </c>
      <c r="AG32">
        <v>0</v>
      </c>
      <c r="AH32">
        <v>1</v>
      </c>
      <c r="AI32">
        <v>44292</v>
      </c>
      <c r="AJ32">
        <v>0</v>
      </c>
      <c r="AK32">
        <v>0</v>
      </c>
      <c r="AL32">
        <v>0</v>
      </c>
      <c r="AQ32">
        <v>0</v>
      </c>
      <c r="AR32">
        <v>0</v>
      </c>
      <c r="AS32">
        <v>0</v>
      </c>
      <c r="AT32">
        <v>282</v>
      </c>
      <c r="AU32">
        <v>0</v>
      </c>
      <c r="AV32">
        <v>0</v>
      </c>
      <c r="AW32">
        <v>0</v>
      </c>
      <c r="AX32">
        <v>466</v>
      </c>
      <c r="AY32">
        <v>1</v>
      </c>
      <c r="AZ32">
        <v>0</v>
      </c>
      <c r="BA32">
        <v>0</v>
      </c>
    </row>
    <row r="33" spans="1:53" x14ac:dyDescent="0.2">
      <c r="A33" s="2">
        <v>2017</v>
      </c>
      <c r="H33">
        <f t="shared" si="4"/>
        <v>2098</v>
      </c>
      <c r="I33">
        <f t="shared" si="0"/>
        <v>694085</v>
      </c>
      <c r="K33">
        <f t="shared" si="9"/>
        <v>280</v>
      </c>
      <c r="L33">
        <f t="shared" si="10"/>
        <v>44494</v>
      </c>
      <c r="N33">
        <f t="shared" si="7"/>
        <v>465</v>
      </c>
      <c r="O33">
        <f t="shared" si="8"/>
        <v>36797</v>
      </c>
      <c r="Q33">
        <v>673479</v>
      </c>
      <c r="R33">
        <v>675144</v>
      </c>
      <c r="S33">
        <f t="shared" si="1"/>
        <v>0.99753385944331874</v>
      </c>
      <c r="U33">
        <v>2098</v>
      </c>
      <c r="V33">
        <v>20606</v>
      </c>
      <c r="W33">
        <v>22726</v>
      </c>
      <c r="X33">
        <f t="shared" si="2"/>
        <v>9.231716976150664E-2</v>
      </c>
      <c r="Y33">
        <f t="shared" si="3"/>
        <v>0.90671477602745754</v>
      </c>
      <c r="AB33">
        <v>0</v>
      </c>
      <c r="AC33">
        <v>0</v>
      </c>
      <c r="AD33">
        <v>0</v>
      </c>
      <c r="AE33">
        <v>268</v>
      </c>
      <c r="AF33">
        <v>1</v>
      </c>
      <c r="AG33">
        <v>0</v>
      </c>
      <c r="AH33">
        <v>0</v>
      </c>
      <c r="AI33">
        <v>44106</v>
      </c>
      <c r="AJ33">
        <v>1</v>
      </c>
      <c r="AK33">
        <v>0</v>
      </c>
      <c r="AL33">
        <v>0</v>
      </c>
      <c r="AQ33">
        <v>1</v>
      </c>
      <c r="AR33">
        <v>0</v>
      </c>
      <c r="AS33">
        <v>0</v>
      </c>
      <c r="AT33">
        <v>280</v>
      </c>
      <c r="AU33">
        <v>1</v>
      </c>
      <c r="AV33">
        <v>0</v>
      </c>
      <c r="AW33">
        <v>0</v>
      </c>
      <c r="AX33">
        <v>388</v>
      </c>
      <c r="AY33">
        <v>0</v>
      </c>
      <c r="AZ33">
        <v>0</v>
      </c>
      <c r="BA33">
        <v>0</v>
      </c>
    </row>
    <row r="34" spans="1:53" x14ac:dyDescent="0.2">
      <c r="A34" s="2">
        <v>2018</v>
      </c>
      <c r="H34">
        <f t="shared" si="4"/>
        <v>2395</v>
      </c>
      <c r="I34">
        <f t="shared" si="0"/>
        <v>703017</v>
      </c>
      <c r="K34">
        <f t="shared" si="9"/>
        <v>547</v>
      </c>
      <c r="L34">
        <f t="shared" si="10"/>
        <v>40816</v>
      </c>
      <c r="N34">
        <f t="shared" si="7"/>
        <v>250</v>
      </c>
      <c r="O34">
        <f t="shared" si="8"/>
        <v>31884</v>
      </c>
      <c r="Q34">
        <v>684487</v>
      </c>
      <c r="R34">
        <v>686303</v>
      </c>
      <c r="S34">
        <f t="shared" si="1"/>
        <v>0.99735393842078501</v>
      </c>
      <c r="U34">
        <v>2395</v>
      </c>
      <c r="V34">
        <v>18530</v>
      </c>
      <c r="W34">
        <v>20946</v>
      </c>
      <c r="X34">
        <f t="shared" si="2"/>
        <v>0.11434164040866991</v>
      </c>
      <c r="Y34">
        <f t="shared" si="3"/>
        <v>0.88465578153346702</v>
      </c>
      <c r="AB34">
        <v>0</v>
      </c>
      <c r="AC34">
        <v>0</v>
      </c>
      <c r="AD34">
        <v>0</v>
      </c>
      <c r="AE34">
        <v>293</v>
      </c>
      <c r="AF34">
        <v>0</v>
      </c>
      <c r="AG34">
        <v>0</v>
      </c>
      <c r="AH34">
        <v>0</v>
      </c>
      <c r="AI34">
        <v>40526</v>
      </c>
      <c r="AJ34">
        <v>1</v>
      </c>
      <c r="AK34">
        <v>0</v>
      </c>
      <c r="AL34">
        <v>0</v>
      </c>
      <c r="AQ34">
        <v>0</v>
      </c>
      <c r="AR34">
        <v>0</v>
      </c>
      <c r="AS34">
        <v>0</v>
      </c>
      <c r="AT34">
        <v>547</v>
      </c>
      <c r="AU34">
        <v>0</v>
      </c>
      <c r="AV34">
        <v>0</v>
      </c>
      <c r="AW34">
        <v>0</v>
      </c>
      <c r="AX34">
        <v>290</v>
      </c>
      <c r="AY34">
        <v>0</v>
      </c>
      <c r="AZ34">
        <v>0</v>
      </c>
      <c r="BA34">
        <v>0</v>
      </c>
    </row>
    <row r="35" spans="1:53" x14ac:dyDescent="0.2">
      <c r="A35" s="2">
        <v>2019</v>
      </c>
      <c r="H35">
        <f t="shared" si="4"/>
        <v>2792</v>
      </c>
      <c r="I35">
        <f t="shared" si="0"/>
        <v>706940</v>
      </c>
      <c r="K35">
        <f t="shared" si="9"/>
        <v>631</v>
      </c>
      <c r="L35">
        <f t="shared" si="10"/>
        <v>38794</v>
      </c>
      <c r="N35">
        <f t="shared" si="7"/>
        <v>234</v>
      </c>
      <c r="O35">
        <f t="shared" si="8"/>
        <v>34871</v>
      </c>
      <c r="Q35">
        <v>690516</v>
      </c>
      <c r="R35">
        <v>692734</v>
      </c>
      <c r="S35">
        <f t="shared" si="1"/>
        <v>0.99679819382331458</v>
      </c>
      <c r="U35">
        <v>2792</v>
      </c>
      <c r="V35">
        <v>16424</v>
      </c>
      <c r="W35">
        <v>19236</v>
      </c>
      <c r="X35">
        <f t="shared" si="2"/>
        <v>0.14514452069037223</v>
      </c>
      <c r="Y35">
        <f t="shared" si="3"/>
        <v>0.85381576211270538</v>
      </c>
      <c r="AB35">
        <v>1</v>
      </c>
      <c r="AC35">
        <v>0</v>
      </c>
      <c r="AD35">
        <v>0</v>
      </c>
      <c r="AE35">
        <v>616</v>
      </c>
      <c r="AF35">
        <v>0</v>
      </c>
      <c r="AG35">
        <v>0</v>
      </c>
      <c r="AH35">
        <v>1</v>
      </c>
      <c r="AI35">
        <v>38486</v>
      </c>
      <c r="AJ35">
        <v>0</v>
      </c>
      <c r="AK35">
        <v>0</v>
      </c>
      <c r="AL35">
        <v>0</v>
      </c>
      <c r="AQ35">
        <v>0</v>
      </c>
      <c r="AR35">
        <v>0</v>
      </c>
      <c r="AS35">
        <v>0</v>
      </c>
      <c r="AT35">
        <v>631</v>
      </c>
      <c r="AU35">
        <v>0</v>
      </c>
      <c r="AV35">
        <v>0</v>
      </c>
      <c r="AW35">
        <v>0</v>
      </c>
      <c r="AX35">
        <v>308</v>
      </c>
      <c r="AY35">
        <v>2</v>
      </c>
      <c r="AZ35">
        <v>0</v>
      </c>
      <c r="BA35">
        <v>0</v>
      </c>
    </row>
    <row r="36" spans="1:53" x14ac:dyDescent="0.2">
      <c r="A36" s="2">
        <v>2020</v>
      </c>
      <c r="H36">
        <f t="shared" si="4"/>
        <v>3005</v>
      </c>
      <c r="I36">
        <f t="shared" si="0"/>
        <v>731836</v>
      </c>
      <c r="K36">
        <f t="shared" si="9"/>
        <v>731</v>
      </c>
      <c r="L36">
        <f t="shared" si="10"/>
        <v>45508</v>
      </c>
      <c r="N36">
        <f t="shared" si="7"/>
        <v>518</v>
      </c>
      <c r="O36">
        <f t="shared" si="8"/>
        <v>20612</v>
      </c>
      <c r="Q36">
        <v>716401</v>
      </c>
      <c r="R36">
        <v>719276</v>
      </c>
      <c r="S36">
        <f t="shared" si="1"/>
        <v>0.99600292516363675</v>
      </c>
      <c r="U36">
        <v>3005</v>
      </c>
      <c r="V36">
        <v>15435</v>
      </c>
      <c r="W36">
        <v>18460</v>
      </c>
      <c r="X36">
        <f t="shared" si="2"/>
        <v>0.16278439869989167</v>
      </c>
      <c r="Y36">
        <f t="shared" si="3"/>
        <v>0.83613217768147341</v>
      </c>
      <c r="AB36">
        <v>0</v>
      </c>
      <c r="AC36">
        <v>0</v>
      </c>
      <c r="AD36">
        <v>0</v>
      </c>
      <c r="AE36">
        <v>902</v>
      </c>
      <c r="AF36">
        <v>0</v>
      </c>
      <c r="AG36">
        <v>0</v>
      </c>
      <c r="AH36">
        <v>1</v>
      </c>
      <c r="AI36">
        <v>45212</v>
      </c>
      <c r="AJ36">
        <v>0</v>
      </c>
      <c r="AK36">
        <v>0</v>
      </c>
      <c r="AL36">
        <v>0</v>
      </c>
      <c r="AQ36">
        <v>0</v>
      </c>
      <c r="AR36">
        <v>0</v>
      </c>
      <c r="AS36">
        <v>0</v>
      </c>
      <c r="AT36">
        <v>731</v>
      </c>
      <c r="AU36">
        <v>0</v>
      </c>
      <c r="AV36">
        <v>0</v>
      </c>
      <c r="AW36">
        <v>0</v>
      </c>
      <c r="AX36">
        <v>296</v>
      </c>
      <c r="AY36">
        <v>0</v>
      </c>
      <c r="AZ36">
        <v>0</v>
      </c>
      <c r="BA36">
        <v>0</v>
      </c>
    </row>
    <row r="37" spans="1:53" x14ac:dyDescent="0.2">
      <c r="A37" s="2">
        <v>2021</v>
      </c>
      <c r="H37">
        <f t="shared" si="4"/>
        <v>3744</v>
      </c>
      <c r="I37">
        <f t="shared" si="0"/>
        <v>748721</v>
      </c>
      <c r="K37">
        <f t="shared" si="9"/>
        <v>1021</v>
      </c>
      <c r="L37">
        <f t="shared" si="10"/>
        <v>52060</v>
      </c>
      <c r="N37">
        <f t="shared" si="7"/>
        <v>282</v>
      </c>
      <c r="O37">
        <f t="shared" si="8"/>
        <v>35175</v>
      </c>
      <c r="Q37">
        <v>733758</v>
      </c>
      <c r="R37">
        <v>737797</v>
      </c>
      <c r="S37">
        <f t="shared" si="1"/>
        <v>0.99452559443857869</v>
      </c>
      <c r="U37">
        <v>3744</v>
      </c>
      <c r="V37">
        <v>14963</v>
      </c>
      <c r="W37">
        <v>18755</v>
      </c>
      <c r="X37">
        <f t="shared" si="2"/>
        <v>0.19962676619568115</v>
      </c>
      <c r="Y37">
        <f t="shared" si="3"/>
        <v>0.79781391628898957</v>
      </c>
      <c r="AB37">
        <v>1</v>
      </c>
      <c r="AC37">
        <v>0</v>
      </c>
      <c r="AD37">
        <v>0</v>
      </c>
      <c r="AE37">
        <v>1104</v>
      </c>
      <c r="AF37">
        <v>0</v>
      </c>
      <c r="AG37">
        <v>0</v>
      </c>
      <c r="AH37">
        <v>1</v>
      </c>
      <c r="AI37">
        <v>51677</v>
      </c>
      <c r="AJ37">
        <v>1</v>
      </c>
      <c r="AK37">
        <v>0</v>
      </c>
      <c r="AL37">
        <v>0</v>
      </c>
      <c r="AQ37">
        <v>1</v>
      </c>
      <c r="AR37">
        <v>0</v>
      </c>
      <c r="AS37">
        <v>0</v>
      </c>
      <c r="AT37">
        <v>1021</v>
      </c>
      <c r="AU37">
        <v>0</v>
      </c>
      <c r="AV37">
        <v>0</v>
      </c>
      <c r="AW37">
        <v>0</v>
      </c>
      <c r="AX37">
        <v>383</v>
      </c>
      <c r="AY37">
        <v>0</v>
      </c>
      <c r="AZ37">
        <v>0</v>
      </c>
      <c r="BA37">
        <v>0</v>
      </c>
    </row>
    <row r="38" spans="1:53" x14ac:dyDescent="0.2">
      <c r="A38" s="2">
        <v>2022</v>
      </c>
      <c r="Q38">
        <v>729964</v>
      </c>
      <c r="R38">
        <v>735335</v>
      </c>
      <c r="S38">
        <f t="shared" si="1"/>
        <v>0.99269584611095618</v>
      </c>
      <c r="U38">
        <v>4993</v>
      </c>
      <c r="V38">
        <v>14114</v>
      </c>
      <c r="W38">
        <v>19155</v>
      </c>
      <c r="X38">
        <f t="shared" si="2"/>
        <v>0.26066301226833727</v>
      </c>
      <c r="Y38">
        <f t="shared" si="3"/>
        <v>0.73683111459149042</v>
      </c>
      <c r="AB38">
        <v>1</v>
      </c>
      <c r="AC38">
        <v>0</v>
      </c>
      <c r="AD38">
        <v>0</v>
      </c>
      <c r="AE38">
        <v>1632</v>
      </c>
      <c r="AF38">
        <v>0</v>
      </c>
      <c r="AG38">
        <v>0</v>
      </c>
      <c r="AH38">
        <v>0</v>
      </c>
      <c r="AI38">
        <v>42584</v>
      </c>
      <c r="AJ38">
        <v>1</v>
      </c>
      <c r="AK38">
        <v>0</v>
      </c>
      <c r="AL38">
        <v>0</v>
      </c>
      <c r="AQ38">
        <v>0</v>
      </c>
      <c r="AR38">
        <v>0</v>
      </c>
      <c r="AS38">
        <v>0</v>
      </c>
      <c r="AT38">
        <v>1595</v>
      </c>
      <c r="AU38">
        <v>0</v>
      </c>
      <c r="AV38">
        <v>0</v>
      </c>
      <c r="AW38">
        <v>0</v>
      </c>
      <c r="AX38">
        <v>350</v>
      </c>
      <c r="AY38">
        <v>0</v>
      </c>
      <c r="AZ38">
        <v>0</v>
      </c>
      <c r="BA38">
        <v>0</v>
      </c>
    </row>
    <row r="39" spans="1:53" x14ac:dyDescent="0.2">
      <c r="A39" s="4"/>
      <c r="Q39" s="5"/>
      <c r="R39" s="5"/>
      <c r="S39" s="5"/>
      <c r="U39" s="5"/>
      <c r="V39" s="5"/>
      <c r="W39" s="5"/>
    </row>
    <row r="40" spans="1:53" x14ac:dyDescent="0.2">
      <c r="A40" s="2" t="s">
        <v>40</v>
      </c>
    </row>
    <row r="42" spans="1:53" x14ac:dyDescent="0.2">
      <c r="A42" s="2" t="s">
        <v>85</v>
      </c>
    </row>
    <row r="43" spans="1:53" x14ac:dyDescent="0.2">
      <c r="A43" s="2" t="s">
        <v>86</v>
      </c>
    </row>
    <row r="44" spans="1:53" x14ac:dyDescent="0.2">
      <c r="A44" s="2" t="s">
        <v>95</v>
      </c>
      <c r="B44" s="18"/>
      <c r="C44" s="18"/>
      <c r="D44" s="23"/>
    </row>
    <row r="45" spans="1:53" x14ac:dyDescent="0.2">
      <c r="A45" s="2" t="s">
        <v>96</v>
      </c>
    </row>
    <row r="46" spans="1:53" x14ac:dyDescent="0.2">
      <c r="A46" s="2" t="s">
        <v>97</v>
      </c>
    </row>
    <row r="48" spans="1:53" ht="17" x14ac:dyDescent="0.2">
      <c r="A48" s="11" t="s">
        <v>6</v>
      </c>
    </row>
    <row r="49" spans="1:1" ht="17" x14ac:dyDescent="0.2">
      <c r="A49" s="11" t="s">
        <v>7</v>
      </c>
    </row>
  </sheetData>
  <mergeCells count="17">
    <mergeCell ref="B2:C2"/>
    <mergeCell ref="AB1:AN1"/>
    <mergeCell ref="H2:I2"/>
    <mergeCell ref="K2:L2"/>
    <mergeCell ref="N2:O2"/>
    <mergeCell ref="Q2:R2"/>
    <mergeCell ref="E1:F1"/>
    <mergeCell ref="H1:I1"/>
    <mergeCell ref="K1:L1"/>
    <mergeCell ref="N1:O1"/>
    <mergeCell ref="Q1:S1"/>
    <mergeCell ref="U2:V2"/>
    <mergeCell ref="U1:Y1"/>
    <mergeCell ref="AQ2:BB2"/>
    <mergeCell ref="AQ1:BB1"/>
    <mergeCell ref="AB2:AM2"/>
    <mergeCell ref="E2:F2"/>
  </mergeCells>
  <conditionalFormatting sqref="H6:I38">
    <cfRule type="cellIs" dxfId="2" priority="2" operator="lessThan">
      <formula>0</formula>
    </cfRule>
  </conditionalFormatting>
  <conditionalFormatting sqref="K6:L38">
    <cfRule type="cellIs" dxfId="1" priority="1" operator="lessThan">
      <formula>0</formula>
    </cfRule>
  </conditionalFormatting>
  <conditionalFormatting sqref="N6:O3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EA5-C825-AD4F-87CD-3A37E57A4619}">
  <dimension ref="A1:Y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C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12" max="12" width="10.83203125" style="7"/>
    <col min="13" max="13" width="12.1640625" bestFit="1" customWidth="1"/>
    <col min="14" max="14" width="12.83203125" bestFit="1" customWidth="1"/>
  </cols>
  <sheetData>
    <row r="1" spans="1:25" s="2" customFormat="1" ht="55" customHeight="1" x14ac:dyDescent="0.2">
      <c r="B1" s="82" t="s">
        <v>93</v>
      </c>
      <c r="C1" s="82"/>
      <c r="D1" s="43"/>
      <c r="E1" s="82" t="s">
        <v>112</v>
      </c>
      <c r="F1" s="82"/>
      <c r="G1" s="43"/>
      <c r="H1" s="82" t="s">
        <v>261</v>
      </c>
      <c r="I1" s="82"/>
      <c r="J1" s="82" t="s">
        <v>262</v>
      </c>
      <c r="K1" s="82"/>
      <c r="L1" s="43"/>
    </row>
    <row r="2" spans="1:25" s="2" customFormat="1" x14ac:dyDescent="0.2">
      <c r="B2" s="56" t="s">
        <v>26</v>
      </c>
      <c r="C2" s="56"/>
      <c r="D2" s="12"/>
      <c r="E2" s="56" t="s">
        <v>26</v>
      </c>
      <c r="F2" s="56"/>
      <c r="G2" s="12"/>
      <c r="H2" s="56" t="s">
        <v>26</v>
      </c>
      <c r="I2" s="56"/>
      <c r="J2" s="56" t="s">
        <v>26</v>
      </c>
      <c r="K2" s="56"/>
      <c r="L2" s="12"/>
      <c r="M2" s="56" t="s">
        <v>263</v>
      </c>
      <c r="N2" s="56"/>
      <c r="P2" s="2" t="str">
        <f>'2W.Cap'!S2</f>
        <v>Petrol share</v>
      </c>
      <c r="R2" s="2" t="str">
        <f>'2W.Cap'!X2</f>
        <v>eBike share</v>
      </c>
      <c r="S2" s="2" t="str">
        <f>'2W.Cap'!Y2</f>
        <v>Petrol share</v>
      </c>
      <c r="U2" s="56" t="s">
        <v>26</v>
      </c>
      <c r="V2" s="56"/>
    </row>
    <row r="3" spans="1:25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2" t="s">
        <v>37</v>
      </c>
      <c r="K3" s="2" t="s">
        <v>54</v>
      </c>
      <c r="L3" s="6"/>
      <c r="M3" s="2" t="s">
        <v>58</v>
      </c>
      <c r="N3" s="2" t="s">
        <v>58</v>
      </c>
      <c r="P3" s="2" t="str">
        <f>'2W.Cap'!S3</f>
        <v>Petrol</v>
      </c>
      <c r="R3" s="2" t="str">
        <f>'2W.Cap'!X3</f>
        <v>electric</v>
      </c>
      <c r="S3" s="2" t="str">
        <f>'2W.Cap'!Y3</f>
        <v>petrol</v>
      </c>
      <c r="U3" s="2" t="s">
        <v>37</v>
      </c>
      <c r="V3" s="2" t="s">
        <v>54</v>
      </c>
      <c r="X3" s="2" t="s">
        <v>37</v>
      </c>
      <c r="Y3" s="2" t="s">
        <v>54</v>
      </c>
    </row>
    <row r="4" spans="1:25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2" t="s">
        <v>290</v>
      </c>
      <c r="K4" s="2" t="s">
        <v>291</v>
      </c>
      <c r="L4" s="6"/>
      <c r="M4" s="2" t="s">
        <v>292</v>
      </c>
      <c r="N4" s="2" t="s">
        <v>321</v>
      </c>
      <c r="P4" s="2" t="s">
        <v>323</v>
      </c>
      <c r="R4" s="2" t="s">
        <v>321</v>
      </c>
      <c r="S4" s="2" t="s">
        <v>321</v>
      </c>
      <c r="U4" s="2" t="s">
        <v>290</v>
      </c>
      <c r="V4" s="2" t="s">
        <v>291</v>
      </c>
      <c r="X4" s="2" t="s">
        <v>290</v>
      </c>
      <c r="Y4" s="2" t="s">
        <v>291</v>
      </c>
    </row>
    <row r="5" spans="1:25" s="2" customFormat="1" ht="17" x14ac:dyDescent="0.2">
      <c r="A5" s="11" t="s">
        <v>90</v>
      </c>
      <c r="B5" s="2" t="s">
        <v>91</v>
      </c>
      <c r="C5" s="2" t="s">
        <v>91</v>
      </c>
      <c r="D5" s="6"/>
      <c r="E5" s="2" t="s">
        <v>94</v>
      </c>
      <c r="F5" s="2" t="s">
        <v>94</v>
      </c>
      <c r="G5" s="6"/>
      <c r="L5" s="6"/>
      <c r="M5" s="2" t="s">
        <v>91</v>
      </c>
      <c r="N5" s="2" t="s">
        <v>91</v>
      </c>
      <c r="P5" s="2" t="str">
        <f>'2W.Cap'!S5</f>
        <v>%</v>
      </c>
      <c r="R5" s="2" t="str">
        <f>'2W.Cap'!X5</f>
        <v>%</v>
      </c>
      <c r="S5" s="2" t="str">
        <f>'2W.Cap'!Y5</f>
        <v>%</v>
      </c>
      <c r="U5" s="2" t="s">
        <v>92</v>
      </c>
      <c r="V5" s="2" t="s">
        <v>92</v>
      </c>
      <c r="X5" s="2" t="s">
        <v>94</v>
      </c>
      <c r="Y5" s="2" t="s">
        <v>94</v>
      </c>
    </row>
    <row r="6" spans="1:25" x14ac:dyDescent="0.2">
      <c r="A6" s="2">
        <v>1990</v>
      </c>
      <c r="B6">
        <f>N6*R6</f>
        <v>0.75349650349650354</v>
      </c>
      <c r="C6">
        <f>M6*P6+N6*S6</f>
        <v>2023.9093367729752</v>
      </c>
      <c r="H6">
        <v>0</v>
      </c>
      <c r="I6">
        <v>0</v>
      </c>
      <c r="J6">
        <v>1</v>
      </c>
      <c r="K6">
        <v>1</v>
      </c>
      <c r="M6">
        <v>1163</v>
      </c>
      <c r="N6">
        <v>862</v>
      </c>
      <c r="P6">
        <f>'2W.Cap'!S6</f>
        <v>0.99982115572282249</v>
      </c>
      <c r="R6">
        <f>'2W.Cap'!X6</f>
        <v>8.7412587412587413E-4</v>
      </c>
      <c r="S6">
        <f>'2W.Cap'!Y6</f>
        <v>0.99897602397602403</v>
      </c>
      <c r="U6">
        <f>'2W.Cap'!H6</f>
        <v>35</v>
      </c>
      <c r="V6">
        <f>'2W.Cap'!I6</f>
        <v>297160</v>
      </c>
      <c r="X6">
        <f>B6/U6</f>
        <v>2.1528471528471531E-2</v>
      </c>
      <c r="Y6">
        <f>C6/V6</f>
        <v>6.8108404118083698E-3</v>
      </c>
    </row>
    <row r="7" spans="1:25" x14ac:dyDescent="0.2">
      <c r="A7" s="2">
        <v>1991</v>
      </c>
      <c r="B7">
        <f t="shared" ref="B7:B37" si="0">N7*R7</f>
        <v>3.0721864628381774</v>
      </c>
      <c r="C7">
        <f t="shared" ref="C7:C37" si="1">M7*P7+N7*S7</f>
        <v>1943.0341818064962</v>
      </c>
      <c r="H7">
        <v>0</v>
      </c>
      <c r="I7">
        <v>0</v>
      </c>
      <c r="J7">
        <v>1</v>
      </c>
      <c r="K7">
        <v>1</v>
      </c>
      <c r="M7">
        <v>1224</v>
      </c>
      <c r="N7">
        <v>723</v>
      </c>
      <c r="P7">
        <f>'2W.Cap'!S7</f>
        <v>0.99934416777773771</v>
      </c>
      <c r="R7">
        <f>'2W.Cap'!X7</f>
        <v>4.2492205571759024E-3</v>
      </c>
      <c r="S7">
        <f>'2W.Cap'!Y7</f>
        <v>0.99562506285829222</v>
      </c>
      <c r="U7">
        <f>'2W.Cap'!H7</f>
        <v>169</v>
      </c>
      <c r="V7">
        <f>'2W.Cap'!I7</f>
        <v>316926</v>
      </c>
      <c r="X7">
        <f t="shared" ref="X7:Y37" si="2">B7/U7</f>
        <v>1.8178618123302823E-2</v>
      </c>
      <c r="Y7">
        <f t="shared" si="2"/>
        <v>6.1308765510134739E-3</v>
      </c>
    </row>
    <row r="8" spans="1:25" x14ac:dyDescent="0.2">
      <c r="A8" s="2">
        <v>1992</v>
      </c>
      <c r="B8">
        <f t="shared" si="0"/>
        <v>3.2641799063627293</v>
      </c>
      <c r="C8">
        <f t="shared" si="1"/>
        <v>1861.7258137063725</v>
      </c>
      <c r="H8">
        <v>0</v>
      </c>
      <c r="I8">
        <v>0</v>
      </c>
      <c r="J8">
        <v>1</v>
      </c>
      <c r="K8">
        <v>1</v>
      </c>
      <c r="M8">
        <v>1267</v>
      </c>
      <c r="N8">
        <v>599</v>
      </c>
      <c r="P8">
        <f>'2W.Cap'!S8</f>
        <v>0.99926331298673965</v>
      </c>
      <c r="R8">
        <f>'2W.Cap'!X8</f>
        <v>5.4493821475170776E-3</v>
      </c>
      <c r="S8">
        <f>'2W.Cap'!Y8</f>
        <v>0.99442269808376182</v>
      </c>
      <c r="U8">
        <f>'2W.Cap'!H8</f>
        <v>213</v>
      </c>
      <c r="V8">
        <f>'2W.Cap'!I8</f>
        <v>333214</v>
      </c>
      <c r="X8">
        <f t="shared" si="2"/>
        <v>1.5324788292782766E-2</v>
      </c>
      <c r="Y8">
        <f t="shared" si="2"/>
        <v>5.5871776507180745E-3</v>
      </c>
    </row>
    <row r="9" spans="1:25" x14ac:dyDescent="0.2">
      <c r="A9" s="2">
        <v>1993</v>
      </c>
      <c r="B9">
        <f t="shared" si="0"/>
        <v>2.8170249884550258</v>
      </c>
      <c r="C9">
        <f t="shared" si="1"/>
        <v>1788.0213558160444</v>
      </c>
      <c r="H9">
        <v>0</v>
      </c>
      <c r="I9">
        <v>0</v>
      </c>
      <c r="J9">
        <v>1</v>
      </c>
      <c r="K9">
        <v>1</v>
      </c>
      <c r="M9">
        <v>1286</v>
      </c>
      <c r="N9">
        <v>506</v>
      </c>
      <c r="P9">
        <f>'2W.Cap'!S9</f>
        <v>0.99915728685563476</v>
      </c>
      <c r="R9">
        <f>'2W.Cap'!X9</f>
        <v>5.5672430601877978E-3</v>
      </c>
      <c r="S9">
        <f>'2W.Cap'!Y9</f>
        <v>0.99427882395197287</v>
      </c>
      <c r="U9">
        <f>'2W.Cap'!H9</f>
        <v>217</v>
      </c>
      <c r="V9">
        <f>'2W.Cap'!I9</f>
        <v>344651</v>
      </c>
      <c r="X9">
        <f t="shared" si="2"/>
        <v>1.2981681974447124E-2</v>
      </c>
      <c r="Y9">
        <f t="shared" si="2"/>
        <v>5.1879186650148831E-3</v>
      </c>
    </row>
    <row r="10" spans="1:25" x14ac:dyDescent="0.2">
      <c r="A10" s="2">
        <v>1994</v>
      </c>
      <c r="B10">
        <f t="shared" si="0"/>
        <v>2.1647741349804384</v>
      </c>
      <c r="C10">
        <f t="shared" si="1"/>
        <v>1560.603470653029</v>
      </c>
      <c r="H10">
        <v>0</v>
      </c>
      <c r="I10">
        <v>0</v>
      </c>
      <c r="J10">
        <v>1</v>
      </c>
      <c r="K10">
        <v>1</v>
      </c>
      <c r="M10">
        <v>1186.1838156000001</v>
      </c>
      <c r="N10">
        <v>377.65918082677001</v>
      </c>
      <c r="P10">
        <f>'2W.Cap'!S10</f>
        <v>0.99913560819304115</v>
      </c>
      <c r="R10">
        <f>'2W.Cap'!X10</f>
        <v>5.7320839658692351E-3</v>
      </c>
      <c r="S10">
        <f>'2W.Cap'!Y10</f>
        <v>0.99413704653719315</v>
      </c>
      <c r="U10">
        <f>'2W.Cap'!H10</f>
        <v>219</v>
      </c>
      <c r="V10">
        <f>'2W.Cap'!I10</f>
        <v>353538</v>
      </c>
      <c r="X10">
        <f t="shared" si="2"/>
        <v>9.8848134017371619E-3</v>
      </c>
      <c r="Y10">
        <f t="shared" si="2"/>
        <v>4.4142453446391304E-3</v>
      </c>
    </row>
    <row r="11" spans="1:25" x14ac:dyDescent="0.2">
      <c r="A11" s="2">
        <v>1995</v>
      </c>
      <c r="B11">
        <f t="shared" si="0"/>
        <v>2.073410622755711</v>
      </c>
      <c r="C11">
        <f t="shared" si="1"/>
        <v>1560.1528042213145</v>
      </c>
      <c r="E11">
        <f>0.9*365/1000000</f>
        <v>3.2850000000000002E-4</v>
      </c>
      <c r="F11">
        <f>0.4*365/1000000</f>
        <v>1.46E-4</v>
      </c>
      <c r="H11">
        <v>0</v>
      </c>
      <c r="I11">
        <v>0</v>
      </c>
      <c r="J11">
        <v>1</v>
      </c>
      <c r="K11">
        <v>1</v>
      </c>
      <c r="M11">
        <v>1208.7841205</v>
      </c>
      <c r="N11">
        <v>354.57181210219301</v>
      </c>
      <c r="P11">
        <f>'2W.Cap'!S11</f>
        <v>0.99910386915882177</v>
      </c>
      <c r="R11">
        <f>'2W.Cap'!X11</f>
        <v>5.8476465189458504E-3</v>
      </c>
      <c r="S11">
        <f>'2W.Cap'!Y11</f>
        <v>0.99402124033040518</v>
      </c>
      <c r="U11">
        <f>'2W.Cap'!H11</f>
        <v>223</v>
      </c>
      <c r="V11">
        <f>'2W.Cap'!I11</f>
        <v>366805</v>
      </c>
      <c r="X11">
        <f t="shared" si="2"/>
        <v>9.2978054832094665E-3</v>
      </c>
      <c r="Y11">
        <f t="shared" si="2"/>
        <v>4.2533575175401489E-3</v>
      </c>
    </row>
    <row r="12" spans="1:25" x14ac:dyDescent="0.2">
      <c r="A12" s="2">
        <v>1996</v>
      </c>
      <c r="B12">
        <f t="shared" si="0"/>
        <v>2.0526402340694978</v>
      </c>
      <c r="C12">
        <f t="shared" si="1"/>
        <v>1553.4735959942007</v>
      </c>
      <c r="H12">
        <v>0</v>
      </c>
      <c r="I12">
        <v>0</v>
      </c>
      <c r="J12">
        <v>1</v>
      </c>
      <c r="K12">
        <v>1</v>
      </c>
      <c r="M12">
        <v>1222.8632413799999</v>
      </c>
      <c r="N12">
        <v>333.75121283710303</v>
      </c>
      <c r="P12">
        <f>'2W.Cap'!S12</f>
        <v>0.99915145020924134</v>
      </c>
      <c r="R12">
        <f>'2W.Cap'!X12</f>
        <v>6.1502105613960674E-3</v>
      </c>
      <c r="S12">
        <f>'2W.Cap'!Y12</f>
        <v>0.99369830641985035</v>
      </c>
      <c r="U12">
        <f>'2W.Cap'!H12</f>
        <v>203</v>
      </c>
      <c r="V12">
        <f>'2W.Cap'!I12</f>
        <v>377801</v>
      </c>
      <c r="X12">
        <f t="shared" si="2"/>
        <v>1.0111528246647773E-2</v>
      </c>
      <c r="Y12">
        <f t="shared" si="2"/>
        <v>4.1118832295155405E-3</v>
      </c>
    </row>
    <row r="13" spans="1:25" x14ac:dyDescent="0.2">
      <c r="A13" s="2">
        <v>1997</v>
      </c>
      <c r="B13">
        <f t="shared" si="0"/>
        <v>2.0976133373975845</v>
      </c>
      <c r="C13">
        <f t="shared" si="1"/>
        <v>1596.0728107519108</v>
      </c>
      <c r="H13">
        <v>0</v>
      </c>
      <c r="I13">
        <v>0</v>
      </c>
      <c r="J13">
        <v>1</v>
      </c>
      <c r="K13">
        <v>1</v>
      </c>
      <c r="M13">
        <v>1290.51283375</v>
      </c>
      <c r="N13">
        <v>309.01367169288</v>
      </c>
      <c r="P13">
        <f>'2W.Cap'!S13</f>
        <v>0.99899261889139068</v>
      </c>
      <c r="R13">
        <f>'2W.Cap'!X13</f>
        <v>6.7880923387828073E-3</v>
      </c>
      <c r="S13">
        <f>'2W.Cap'!Y13</f>
        <v>0.99303054641552457</v>
      </c>
      <c r="U13">
        <f>'2W.Cap'!H13</f>
        <v>262</v>
      </c>
      <c r="V13">
        <f>'2W.Cap'!I13</f>
        <v>405247</v>
      </c>
      <c r="X13">
        <f t="shared" si="2"/>
        <v>8.0061577763266591E-3</v>
      </c>
      <c r="Y13">
        <f t="shared" si="2"/>
        <v>3.9385185103206462E-3</v>
      </c>
    </row>
    <row r="14" spans="1:25" x14ac:dyDescent="0.2">
      <c r="A14" s="2">
        <v>1998</v>
      </c>
      <c r="B14">
        <f t="shared" si="0"/>
        <v>2.0105020365238562</v>
      </c>
      <c r="C14">
        <f t="shared" si="1"/>
        <v>1628.1513082966912</v>
      </c>
      <c r="H14">
        <v>0</v>
      </c>
      <c r="I14">
        <v>0</v>
      </c>
      <c r="J14">
        <v>1</v>
      </c>
      <c r="K14">
        <v>1</v>
      </c>
      <c r="M14">
        <v>1340.9560591200002</v>
      </c>
      <c r="N14">
        <v>290.58146197249999</v>
      </c>
      <c r="P14">
        <f>'2W.Cap'!S14</f>
        <v>0.99899574840466332</v>
      </c>
      <c r="R14">
        <f>'2W.Cap'!X14</f>
        <v>6.91889297712366E-3</v>
      </c>
      <c r="S14">
        <f>'2W.Cap'!Y14</f>
        <v>0.99298112302031671</v>
      </c>
      <c r="U14">
        <f>'2W.Cap'!H14</f>
        <v>346</v>
      </c>
      <c r="V14">
        <f>'2W.Cap'!I14</f>
        <v>428663</v>
      </c>
      <c r="X14">
        <f t="shared" si="2"/>
        <v>5.810699527525596E-3</v>
      </c>
      <c r="Y14">
        <f t="shared" si="2"/>
        <v>3.7982081688801954E-3</v>
      </c>
    </row>
    <row r="15" spans="1:25" x14ac:dyDescent="0.2">
      <c r="A15" s="2">
        <v>1999</v>
      </c>
      <c r="B15">
        <f t="shared" si="0"/>
        <v>1.960342273158884</v>
      </c>
      <c r="C15">
        <f t="shared" si="1"/>
        <v>1668.0315221675894</v>
      </c>
      <c r="H15">
        <v>0</v>
      </c>
      <c r="I15">
        <v>0</v>
      </c>
      <c r="J15">
        <v>1</v>
      </c>
      <c r="K15">
        <v>1</v>
      </c>
      <c r="M15">
        <v>1403.6931663749999</v>
      </c>
      <c r="N15">
        <v>267.61793592748</v>
      </c>
      <c r="P15">
        <f>'2W.Cap'!S15</f>
        <v>0.99907795707801295</v>
      </c>
      <c r="R15">
        <f>'2W.Cap'!X15</f>
        <v>7.3251528017543041E-3</v>
      </c>
      <c r="S15">
        <f>'2W.Cap'!Y15</f>
        <v>0.99258153314981568</v>
      </c>
      <c r="U15">
        <f>'2W.Cap'!H15</f>
        <v>471</v>
      </c>
      <c r="V15">
        <f>'2W.Cap'!I15</f>
        <v>457150</v>
      </c>
      <c r="X15">
        <f t="shared" si="2"/>
        <v>4.1620855056451892E-3</v>
      </c>
      <c r="Y15">
        <f t="shared" si="2"/>
        <v>3.6487619428362452E-3</v>
      </c>
    </row>
    <row r="16" spans="1:25" x14ac:dyDescent="0.2">
      <c r="A16" s="2">
        <v>2000</v>
      </c>
      <c r="B16">
        <f t="shared" si="0"/>
        <v>1.618423341222563</v>
      </c>
      <c r="C16">
        <f t="shared" si="1"/>
        <v>1697.0558166531039</v>
      </c>
      <c r="H16">
        <v>0</v>
      </c>
      <c r="I16">
        <v>0</v>
      </c>
      <c r="J16">
        <v>1</v>
      </c>
      <c r="K16">
        <v>1</v>
      </c>
      <c r="M16">
        <v>1463.26567759</v>
      </c>
      <c r="N16">
        <v>236.62301262404</v>
      </c>
      <c r="P16">
        <f>'2W.Cap'!S16</f>
        <v>0.99918224012180445</v>
      </c>
      <c r="R16">
        <f>'2W.Cap'!X16</f>
        <v>6.8396700865017103E-3</v>
      </c>
      <c r="S16">
        <f>'2W.Cap'!Y16</f>
        <v>0.99308489237577957</v>
      </c>
      <c r="U16">
        <f>'2W.Cap'!H16</f>
        <v>544</v>
      </c>
      <c r="V16">
        <f>'2W.Cap'!I16</f>
        <v>485863</v>
      </c>
      <c r="X16">
        <f t="shared" si="2"/>
        <v>2.9750429066591234E-3</v>
      </c>
      <c r="Y16">
        <f t="shared" si="2"/>
        <v>3.4928690117442653E-3</v>
      </c>
    </row>
    <row r="17" spans="1:25" x14ac:dyDescent="0.2">
      <c r="A17" s="2">
        <v>2001</v>
      </c>
      <c r="B17">
        <f t="shared" si="0"/>
        <v>1.3612799112592853</v>
      </c>
      <c r="C17">
        <f t="shared" si="1"/>
        <v>1730.3928080531282</v>
      </c>
      <c r="H17">
        <v>0</v>
      </c>
      <c r="I17">
        <v>0</v>
      </c>
      <c r="J17">
        <v>1</v>
      </c>
      <c r="K17">
        <v>1</v>
      </c>
      <c r="M17">
        <v>1527.4037394723191</v>
      </c>
      <c r="N17">
        <v>205.48553036058701</v>
      </c>
      <c r="P17">
        <f>'2W.Cap'!S17</f>
        <v>0.99927252605191541</v>
      </c>
      <c r="R17">
        <f>'2W.Cap'!X17</f>
        <v>6.6246996023053527E-3</v>
      </c>
      <c r="S17">
        <f>'2W.Cap'!Y17</f>
        <v>0.99325833138384978</v>
      </c>
      <c r="U17">
        <f>'2W.Cap'!H17</f>
        <v>623</v>
      </c>
      <c r="V17">
        <f>'2W.Cap'!I17</f>
        <v>512362</v>
      </c>
      <c r="X17">
        <f t="shared" si="2"/>
        <v>2.1850399859699604E-3</v>
      </c>
      <c r="Y17">
        <f t="shared" si="2"/>
        <v>3.377285606764608E-3</v>
      </c>
    </row>
    <row r="18" spans="1:25" x14ac:dyDescent="0.2">
      <c r="A18" s="2">
        <v>2002</v>
      </c>
      <c r="B18">
        <f t="shared" si="0"/>
        <v>1.2569947693298262</v>
      </c>
      <c r="C18">
        <f t="shared" si="1"/>
        <v>1760.2902905098176</v>
      </c>
      <c r="H18">
        <v>0</v>
      </c>
      <c r="I18">
        <v>0</v>
      </c>
      <c r="J18">
        <v>1</v>
      </c>
      <c r="K18">
        <v>1</v>
      </c>
      <c r="M18">
        <v>1578.4723867069783</v>
      </c>
      <c r="N18">
        <v>183.82815685568099</v>
      </c>
      <c r="P18">
        <f>'2W.Cap'!S18</f>
        <v>0.9995293470739135</v>
      </c>
      <c r="R18">
        <f>'2W.Cap'!X18</f>
        <v>6.8378794131992646E-3</v>
      </c>
      <c r="S18">
        <f>'2W.Cap'!Y18</f>
        <v>0.99310584174389371</v>
      </c>
      <c r="U18">
        <f>'2W.Cap'!H18</f>
        <v>729</v>
      </c>
      <c r="V18">
        <f>'2W.Cap'!I18</f>
        <v>534866</v>
      </c>
      <c r="X18">
        <f t="shared" si="2"/>
        <v>1.7242726602603926E-3</v>
      </c>
      <c r="Y18">
        <f t="shared" si="2"/>
        <v>3.2910865347765936E-3</v>
      </c>
    </row>
    <row r="19" spans="1:25" x14ac:dyDescent="0.2">
      <c r="A19" s="2">
        <v>2003</v>
      </c>
      <c r="B19">
        <f t="shared" si="0"/>
        <v>1.2940809925651016</v>
      </c>
      <c r="C19">
        <f t="shared" si="1"/>
        <v>1783.7086224485186</v>
      </c>
      <c r="H19">
        <v>0</v>
      </c>
      <c r="I19">
        <v>0</v>
      </c>
      <c r="J19">
        <v>1</v>
      </c>
      <c r="K19">
        <v>1</v>
      </c>
      <c r="M19">
        <v>1623.59275300283</v>
      </c>
      <c r="N19">
        <v>162.32152685417699</v>
      </c>
      <c r="P19">
        <f>'2W.Cap'!S19</f>
        <v>0.99954891916631461</v>
      </c>
      <c r="R19">
        <f>'2W.Cap'!X19</f>
        <v>7.9723313207104747E-3</v>
      </c>
      <c r="S19">
        <f>'2W.Cap'!Y19</f>
        <v>0.99092365711159314</v>
      </c>
      <c r="U19">
        <f>'2W.Cap'!H19</f>
        <v>816</v>
      </c>
      <c r="V19">
        <f>'2W.Cap'!I19</f>
        <v>555684</v>
      </c>
      <c r="X19">
        <f t="shared" si="2"/>
        <v>1.5858835693199774E-3</v>
      </c>
      <c r="Y19">
        <f t="shared" si="2"/>
        <v>3.2099333838089966E-3</v>
      </c>
    </row>
    <row r="20" spans="1:25" x14ac:dyDescent="0.2">
      <c r="A20" s="2">
        <v>2004</v>
      </c>
      <c r="B20">
        <f t="shared" si="0"/>
        <v>1.5012111681357909</v>
      </c>
      <c r="C20">
        <f t="shared" si="1"/>
        <v>1792.4464263773593</v>
      </c>
      <c r="H20">
        <v>0</v>
      </c>
      <c r="I20">
        <v>0</v>
      </c>
      <c r="J20">
        <v>1</v>
      </c>
      <c r="K20">
        <v>1</v>
      </c>
      <c r="M20">
        <v>1648.6161987739783</v>
      </c>
      <c r="N20">
        <v>146.39784858600001</v>
      </c>
      <c r="P20">
        <f>'2W.Cap'!S20</f>
        <v>0.99950457901653755</v>
      </c>
      <c r="R20">
        <f>'2W.Cap'!X20</f>
        <v>1.0254325337669965E-2</v>
      </c>
      <c r="S20">
        <f>'2W.Cap'!Y20</f>
        <v>0.98804038487599943</v>
      </c>
      <c r="U20">
        <f>'2W.Cap'!H20</f>
        <v>908</v>
      </c>
      <c r="V20">
        <f>'2W.Cap'!I20</f>
        <v>569668</v>
      </c>
      <c r="X20">
        <f t="shared" si="2"/>
        <v>1.6533162644667301E-3</v>
      </c>
      <c r="Y20">
        <f t="shared" si="2"/>
        <v>3.1464755372907719E-3</v>
      </c>
    </row>
    <row r="21" spans="1:25" x14ac:dyDescent="0.2">
      <c r="A21" s="2">
        <v>2005</v>
      </c>
      <c r="B21">
        <f t="shared" si="0"/>
        <v>1.5422899941648893</v>
      </c>
      <c r="C21">
        <f t="shared" si="1"/>
        <v>1780.2419040041259</v>
      </c>
      <c r="H21">
        <v>0</v>
      </c>
      <c r="I21">
        <v>0</v>
      </c>
      <c r="J21">
        <v>1</v>
      </c>
      <c r="K21">
        <v>1</v>
      </c>
      <c r="M21">
        <v>1653.5883843066711</v>
      </c>
      <c r="N21">
        <v>130.94389935421</v>
      </c>
      <c r="P21">
        <f>'2W.Cap'!S21</f>
        <v>0.99850240356219733</v>
      </c>
      <c r="R21">
        <f>'2W.Cap'!X21</f>
        <v>1.1778250088558271E-2</v>
      </c>
      <c r="S21">
        <f>'2W.Cap'!Y21</f>
        <v>0.98614695612570213</v>
      </c>
      <c r="U21">
        <f>'2W.Cap'!H21</f>
        <v>931</v>
      </c>
      <c r="V21">
        <f>'2W.Cap'!I21</f>
        <v>576668</v>
      </c>
      <c r="X21">
        <f t="shared" si="2"/>
        <v>1.6565950528086889E-3</v>
      </c>
      <c r="Y21">
        <f t="shared" si="2"/>
        <v>3.0871175511804467E-3</v>
      </c>
    </row>
    <row r="22" spans="1:25" x14ac:dyDescent="0.2">
      <c r="A22" s="2">
        <v>2006</v>
      </c>
      <c r="B22">
        <f t="shared" si="0"/>
        <v>1.6516107662269404</v>
      </c>
      <c r="C22">
        <f t="shared" si="1"/>
        <v>1807.1901280864477</v>
      </c>
      <c r="H22">
        <v>0</v>
      </c>
      <c r="I22">
        <v>0</v>
      </c>
      <c r="J22">
        <v>1</v>
      </c>
      <c r="K22">
        <v>1</v>
      </c>
      <c r="M22">
        <v>1681.9341574729676</v>
      </c>
      <c r="N22">
        <v>129.583582806766</v>
      </c>
      <c r="P22">
        <f>'2W.Cap'!S22</f>
        <v>0.99846242146544095</v>
      </c>
      <c r="R22">
        <f>'2W.Cap'!X22</f>
        <v>1.2745524783720551E-2</v>
      </c>
      <c r="S22">
        <f>'2W.Cap'!Y22</f>
        <v>0.98656074868055932</v>
      </c>
      <c r="U22">
        <f>'2W.Cap'!H22</f>
        <v>937</v>
      </c>
      <c r="V22">
        <f>'2W.Cap'!I22</f>
        <v>592676</v>
      </c>
      <c r="X22">
        <f t="shared" si="2"/>
        <v>1.762658235034088E-3</v>
      </c>
      <c r="Y22">
        <f t="shared" si="2"/>
        <v>3.049204165659564E-3</v>
      </c>
    </row>
    <row r="23" spans="1:25" x14ac:dyDescent="0.2">
      <c r="A23" s="2">
        <v>2007</v>
      </c>
      <c r="B23">
        <f t="shared" si="0"/>
        <v>1.7974317224622067</v>
      </c>
      <c r="C23">
        <f t="shared" si="1"/>
        <v>1813.9652304559941</v>
      </c>
      <c r="H23">
        <v>0</v>
      </c>
      <c r="I23">
        <v>0</v>
      </c>
      <c r="J23">
        <v>1</v>
      </c>
      <c r="K23">
        <v>1</v>
      </c>
      <c r="M23">
        <v>1692.0680261082707</v>
      </c>
      <c r="N23">
        <v>127.693653636147</v>
      </c>
      <c r="P23">
        <f>'2W.Cap'!S23</f>
        <v>0.99771970451248659</v>
      </c>
      <c r="R23">
        <f>'2W.Cap'!X23</f>
        <v>1.4076124155581347E-2</v>
      </c>
      <c r="S23">
        <f>'2W.Cap'!Y23</f>
        <v>0.98482278368002862</v>
      </c>
      <c r="U23">
        <f>'2W.Cap'!H23</f>
        <v>946</v>
      </c>
      <c r="V23">
        <f>'2W.Cap'!I23</f>
        <v>601297</v>
      </c>
      <c r="X23">
        <f t="shared" si="2"/>
        <v>1.9000335332581466E-3</v>
      </c>
      <c r="Y23">
        <f t="shared" si="2"/>
        <v>3.0167541671686274E-3</v>
      </c>
    </row>
    <row r="24" spans="1:25" x14ac:dyDescent="0.2">
      <c r="A24" s="2">
        <v>2008</v>
      </c>
      <c r="B24">
        <f t="shared" si="0"/>
        <v>2.3703611960305371</v>
      </c>
      <c r="C24">
        <f t="shared" si="1"/>
        <v>1841.1832979882099</v>
      </c>
      <c r="H24">
        <v>0</v>
      </c>
      <c r="I24">
        <v>0</v>
      </c>
      <c r="J24">
        <v>1</v>
      </c>
      <c r="K24">
        <v>1</v>
      </c>
      <c r="M24">
        <v>1720.1199542531817</v>
      </c>
      <c r="N24">
        <v>127.993473132224</v>
      </c>
      <c r="P24">
        <f>'2W.Cap'!S24</f>
        <v>0.99741344111261609</v>
      </c>
      <c r="R24">
        <f>'2W.Cap'!X24</f>
        <v>1.8519391169124922E-2</v>
      </c>
      <c r="S24">
        <f>'2W.Cap'!Y24</f>
        <v>0.9806166847305342</v>
      </c>
      <c r="U24">
        <f>'2W.Cap'!H24</f>
        <v>1179</v>
      </c>
      <c r="V24">
        <f>'2W.Cap'!I24</f>
        <v>616942</v>
      </c>
      <c r="X24">
        <f t="shared" si="2"/>
        <v>2.0104844750046965E-3</v>
      </c>
      <c r="Y24">
        <f t="shared" si="2"/>
        <v>2.9843701644371918E-3</v>
      </c>
    </row>
    <row r="25" spans="1:25" x14ac:dyDescent="0.2">
      <c r="A25" s="2">
        <v>2009</v>
      </c>
      <c r="B25">
        <f t="shared" si="0"/>
        <v>3.4576521779397322</v>
      </c>
      <c r="C25">
        <f t="shared" si="1"/>
        <v>1841.0138456459251</v>
      </c>
      <c r="H25">
        <v>0</v>
      </c>
      <c r="I25">
        <v>0</v>
      </c>
      <c r="J25">
        <v>1</v>
      </c>
      <c r="K25">
        <v>1</v>
      </c>
      <c r="M25">
        <v>1717.3557645023975</v>
      </c>
      <c r="N25">
        <v>128.92070983303199</v>
      </c>
      <c r="P25">
        <f>'2W.Cap'!S25</f>
        <v>0.99899089693940624</v>
      </c>
      <c r="R25">
        <f>'2W.Cap'!X25</f>
        <v>2.6819990228240387E-2</v>
      </c>
      <c r="S25">
        <f>'2W.Cap'!Y25</f>
        <v>0.97262162350806169</v>
      </c>
      <c r="U25">
        <f>'2W.Cap'!H25</f>
        <v>1537</v>
      </c>
      <c r="V25">
        <f>'2W.Cap'!I25</f>
        <v>622997</v>
      </c>
      <c r="X25">
        <f t="shared" si="2"/>
        <v>2.2496110461546729E-3</v>
      </c>
      <c r="Y25">
        <f t="shared" si="2"/>
        <v>2.9550926339066241E-3</v>
      </c>
    </row>
    <row r="26" spans="1:25" x14ac:dyDescent="0.2">
      <c r="A26" s="2">
        <v>2010</v>
      </c>
      <c r="B26">
        <f t="shared" si="0"/>
        <v>5.6711746195988084</v>
      </c>
      <c r="C26">
        <f t="shared" si="1"/>
        <v>1844.3852070626433</v>
      </c>
      <c r="H26">
        <v>0</v>
      </c>
      <c r="I26">
        <v>0</v>
      </c>
      <c r="J26">
        <v>1</v>
      </c>
      <c r="K26">
        <v>1</v>
      </c>
      <c r="M26">
        <v>1719.9899154216741</v>
      </c>
      <c r="N26">
        <v>132.26478962862001</v>
      </c>
      <c r="P26">
        <f>'2W.Cap'!S26</f>
        <v>0.99876174746881552</v>
      </c>
      <c r="R26">
        <f>'2W.Cap'!X26</f>
        <v>4.2877432728110246E-2</v>
      </c>
      <c r="S26">
        <f>'2W.Cap'!Y26</f>
        <v>0.95660435299988489</v>
      </c>
      <c r="U26">
        <f>'2W.Cap'!H26</f>
        <v>2234</v>
      </c>
      <c r="V26">
        <f>'2W.Cap'!I26</f>
        <v>629779</v>
      </c>
      <c r="X26">
        <f t="shared" si="2"/>
        <v>2.5385741358991982E-3</v>
      </c>
      <c r="Y26">
        <f t="shared" si="2"/>
        <v>2.9286229090881776E-3</v>
      </c>
    </row>
    <row r="27" spans="1:25" x14ac:dyDescent="0.2">
      <c r="A27" s="2">
        <v>2011</v>
      </c>
      <c r="B27">
        <f t="shared" si="0"/>
        <v>8.8945445125166884</v>
      </c>
      <c r="C27">
        <f t="shared" si="1"/>
        <v>1865.5907292259203</v>
      </c>
      <c r="H27">
        <v>0</v>
      </c>
      <c r="I27">
        <v>0</v>
      </c>
      <c r="J27">
        <v>1</v>
      </c>
      <c r="K27">
        <v>1</v>
      </c>
      <c r="M27">
        <v>1743.3965694963695</v>
      </c>
      <c r="N27">
        <v>133.616072</v>
      </c>
      <c r="P27">
        <f>'2W.Cap'!S27</f>
        <v>0.99859348789914593</v>
      </c>
      <c r="R27">
        <f>'2W.Cap'!X27</f>
        <v>6.6567923898531375E-2</v>
      </c>
      <c r="S27">
        <f>'2W.Cap'!Y27</f>
        <v>0.93286882510013347</v>
      </c>
      <c r="U27">
        <f>'2W.Cap'!H27</f>
        <v>3191</v>
      </c>
      <c r="V27">
        <f>'2W.Cap'!I27</f>
        <v>641810</v>
      </c>
      <c r="X27">
        <f t="shared" si="2"/>
        <v>2.7873846795727635E-3</v>
      </c>
      <c r="Y27">
        <f t="shared" si="2"/>
        <v>2.9067648201584898E-3</v>
      </c>
    </row>
    <row r="28" spans="1:25" x14ac:dyDescent="0.2">
      <c r="A28" s="2">
        <v>2012</v>
      </c>
      <c r="B28">
        <f t="shared" si="0"/>
        <v>12.114296971233633</v>
      </c>
      <c r="C28">
        <f t="shared" si="1"/>
        <v>1883.7637421446093</v>
      </c>
      <c r="H28">
        <v>0</v>
      </c>
      <c r="I28">
        <v>0</v>
      </c>
      <c r="J28">
        <v>1</v>
      </c>
      <c r="K28">
        <v>1</v>
      </c>
      <c r="M28">
        <v>1764.2694450684166</v>
      </c>
      <c r="N28">
        <v>134.760682</v>
      </c>
      <c r="P28">
        <f>'2W.Cap'!S28</f>
        <v>0.99826091204416112</v>
      </c>
      <c r="R28">
        <f>'2W.Cap'!X28</f>
        <v>8.9894892126129444E-2</v>
      </c>
      <c r="S28">
        <f>'2W.Cap'!Y28</f>
        <v>0.90948275862068961</v>
      </c>
      <c r="U28">
        <f>'2W.Cap'!H28</f>
        <v>3900</v>
      </c>
      <c r="V28">
        <f>'2W.Cap'!I28</f>
        <v>652504</v>
      </c>
      <c r="X28">
        <f t="shared" si="2"/>
        <v>3.1062299926240084E-3</v>
      </c>
      <c r="Y28">
        <f t="shared" si="2"/>
        <v>2.8869765428941574E-3</v>
      </c>
    </row>
    <row r="29" spans="1:25" x14ac:dyDescent="0.2">
      <c r="A29" s="2">
        <v>2013</v>
      </c>
      <c r="B29">
        <f t="shared" si="0"/>
        <v>12.84554483051512</v>
      </c>
      <c r="C29">
        <f t="shared" si="1"/>
        <v>1887.5934249303159</v>
      </c>
      <c r="H29">
        <v>0</v>
      </c>
      <c r="I29">
        <v>0</v>
      </c>
      <c r="J29">
        <v>1</v>
      </c>
      <c r="K29">
        <v>1</v>
      </c>
      <c r="M29">
        <v>1769.622290350628</v>
      </c>
      <c r="N29">
        <v>134.10889</v>
      </c>
      <c r="P29">
        <f>'2W.Cap'!S29</f>
        <v>0.99818317033577764</v>
      </c>
      <c r="R29">
        <f>'2W.Cap'!X29</f>
        <v>9.578443927554034E-2</v>
      </c>
      <c r="S29">
        <f>'2W.Cap'!Y29</f>
        <v>0.90364059273972241</v>
      </c>
      <c r="U29">
        <f>'2W.Cap'!H29</f>
        <v>3665</v>
      </c>
      <c r="V29">
        <f>'2W.Cap'!I29</f>
        <v>658705</v>
      </c>
      <c r="X29">
        <f t="shared" si="2"/>
        <v>3.5049235553929387E-3</v>
      </c>
      <c r="Y29">
        <f t="shared" si="2"/>
        <v>2.8656127172714888E-3</v>
      </c>
    </row>
    <row r="30" spans="1:25" x14ac:dyDescent="0.2">
      <c r="A30" s="2">
        <v>2014</v>
      </c>
      <c r="B30">
        <f t="shared" si="0"/>
        <v>14.341535591026901</v>
      </c>
      <c r="C30">
        <f t="shared" si="1"/>
        <v>1902.0093254518208</v>
      </c>
      <c r="H30">
        <v>0</v>
      </c>
      <c r="I30">
        <v>0</v>
      </c>
      <c r="J30">
        <v>1</v>
      </c>
      <c r="K30">
        <v>1</v>
      </c>
      <c r="M30">
        <v>1782.4018050929512</v>
      </c>
      <c r="N30">
        <v>137.42572799999999</v>
      </c>
      <c r="P30">
        <f>'2W.Cap'!S30</f>
        <v>0.9981114628105251</v>
      </c>
      <c r="R30">
        <f>'2W.Cap'!X30</f>
        <v>0.1043584472845354</v>
      </c>
      <c r="S30">
        <f>'2W.Cap'!Y30</f>
        <v>0.89483719128906369</v>
      </c>
      <c r="U30">
        <f>'2W.Cap'!H30</f>
        <v>3503</v>
      </c>
      <c r="V30">
        <f>'2W.Cap'!I30</f>
        <v>667949</v>
      </c>
      <c r="X30">
        <f t="shared" si="2"/>
        <v>4.0940723925283759E-3</v>
      </c>
      <c r="Y30">
        <f t="shared" si="2"/>
        <v>2.8475367512367272E-3</v>
      </c>
    </row>
    <row r="31" spans="1:25" x14ac:dyDescent="0.2">
      <c r="A31" s="2">
        <v>2015</v>
      </c>
      <c r="B31">
        <f t="shared" si="0"/>
        <v>14.371033331660916</v>
      </c>
      <c r="C31">
        <f t="shared" si="1"/>
        <v>1918.4875607352178</v>
      </c>
      <c r="E31">
        <f>0.9*365/1000000</f>
        <v>3.2850000000000002E-4</v>
      </c>
      <c r="F31">
        <f>0.4*365/1000000</f>
        <v>1.46E-4</v>
      </c>
      <c r="H31">
        <v>0</v>
      </c>
      <c r="I31">
        <v>0</v>
      </c>
      <c r="J31">
        <v>1</v>
      </c>
      <c r="K31">
        <v>1</v>
      </c>
      <c r="M31">
        <v>1793.5879834040941</v>
      </c>
      <c r="N31">
        <v>142.91858199999999</v>
      </c>
      <c r="P31">
        <f>'2W.Cap'!S31</f>
        <v>0.99803273564655426</v>
      </c>
      <c r="R31">
        <f>'2W.Cap'!X31</f>
        <v>0.10055398766593499</v>
      </c>
      <c r="S31">
        <f>'2W.Cap'!Y31</f>
        <v>0.89860980453642725</v>
      </c>
      <c r="U31">
        <f>'2W.Cap'!H31</f>
        <v>2886</v>
      </c>
      <c r="V31">
        <f>'2W.Cap'!I31</f>
        <v>677190</v>
      </c>
      <c r="X31">
        <f t="shared" si="2"/>
        <v>4.9795680289885366E-3</v>
      </c>
      <c r="Y31">
        <f t="shared" si="2"/>
        <v>2.8330122428494482E-3</v>
      </c>
    </row>
    <row r="32" spans="1:25" x14ac:dyDescent="0.2">
      <c r="A32" s="2">
        <v>2016</v>
      </c>
      <c r="B32">
        <f t="shared" si="0"/>
        <v>14.102298134489725</v>
      </c>
      <c r="C32">
        <f t="shared" si="1"/>
        <v>1957.3713230154285</v>
      </c>
      <c r="H32">
        <v>0</v>
      </c>
      <c r="I32">
        <v>0</v>
      </c>
      <c r="J32">
        <v>1</v>
      </c>
      <c r="K32">
        <v>1</v>
      </c>
      <c r="M32">
        <v>1819.7558738639432</v>
      </c>
      <c r="N32">
        <v>155.97771800000001</v>
      </c>
      <c r="P32">
        <f>'2W.Cap'!S32</f>
        <v>0.99772014304748902</v>
      </c>
      <c r="R32">
        <f>'2W.Cap'!X32</f>
        <v>9.04122609005584E-2</v>
      </c>
      <c r="S32">
        <f>'2W.Cap'!Y32</f>
        <v>0.90887489604372107</v>
      </c>
      <c r="U32">
        <f>'2W.Cap'!H32</f>
        <v>2283</v>
      </c>
      <c r="V32">
        <f>'2W.Cap'!I32</f>
        <v>686388</v>
      </c>
      <c r="X32">
        <f t="shared" si="2"/>
        <v>6.1770907290800373E-3</v>
      </c>
      <c r="Y32">
        <f t="shared" si="2"/>
        <v>2.8516980527273621E-3</v>
      </c>
    </row>
    <row r="33" spans="1:25" x14ac:dyDescent="0.2">
      <c r="A33" s="2">
        <v>2017</v>
      </c>
      <c r="B33">
        <f t="shared" si="0"/>
        <v>15.382914281340083</v>
      </c>
      <c r="C33">
        <f t="shared" si="1"/>
        <v>1988.4492513982148</v>
      </c>
      <c r="H33">
        <v>0</v>
      </c>
      <c r="I33">
        <v>0</v>
      </c>
      <c r="J33">
        <v>1</v>
      </c>
      <c r="K33">
        <v>1</v>
      </c>
      <c r="M33">
        <v>1841.9047399999999</v>
      </c>
      <c r="N33">
        <v>166.63112962713762</v>
      </c>
      <c r="P33">
        <f>'2W.Cap'!S33</f>
        <v>0.99753385944331874</v>
      </c>
      <c r="R33">
        <f>'2W.Cap'!X33</f>
        <v>9.231716976150664E-2</v>
      </c>
      <c r="S33">
        <f>'2W.Cap'!Y33</f>
        <v>0.90671477602745754</v>
      </c>
      <c r="U33">
        <f>'2W.Cap'!H33</f>
        <v>2098</v>
      </c>
      <c r="V33">
        <f>'2W.Cap'!I33</f>
        <v>694085</v>
      </c>
      <c r="X33">
        <f t="shared" si="2"/>
        <v>7.3321803056911744E-3</v>
      </c>
      <c r="Y33">
        <f t="shared" si="2"/>
        <v>2.8648497682534774E-3</v>
      </c>
    </row>
    <row r="34" spans="1:25" x14ac:dyDescent="0.2">
      <c r="A34" s="2">
        <v>2018</v>
      </c>
      <c r="B34">
        <f t="shared" si="0"/>
        <v>20.407478660240137</v>
      </c>
      <c r="C34">
        <f t="shared" si="1"/>
        <v>2020.5328870203521</v>
      </c>
      <c r="H34">
        <v>0</v>
      </c>
      <c r="I34">
        <v>0</v>
      </c>
      <c r="J34">
        <v>1</v>
      </c>
      <c r="K34">
        <v>1</v>
      </c>
      <c r="M34">
        <v>1867.582944</v>
      </c>
      <c r="N34">
        <v>178.47809938095614</v>
      </c>
      <c r="P34">
        <f>'2W.Cap'!S34</f>
        <v>0.99735393842078501</v>
      </c>
      <c r="R34">
        <f>'2W.Cap'!X34</f>
        <v>0.11434164040866991</v>
      </c>
      <c r="S34">
        <f>'2W.Cap'!Y34</f>
        <v>0.88465578153346702</v>
      </c>
      <c r="U34">
        <f>'2W.Cap'!H34</f>
        <v>2395</v>
      </c>
      <c r="V34">
        <f>'2W.Cap'!I34</f>
        <v>703017</v>
      </c>
      <c r="X34">
        <f t="shared" si="2"/>
        <v>8.5208679165929592E-3</v>
      </c>
      <c r="Y34">
        <f t="shared" si="2"/>
        <v>2.8740882326036953E-3</v>
      </c>
    </row>
    <row r="35" spans="1:25" x14ac:dyDescent="0.2">
      <c r="A35" s="2">
        <v>2019</v>
      </c>
      <c r="B35">
        <f t="shared" si="0"/>
        <v>27.198554258838733</v>
      </c>
      <c r="C35">
        <f t="shared" si="1"/>
        <v>2034.7631780224924</v>
      </c>
      <c r="H35">
        <v>0</v>
      </c>
      <c r="I35">
        <v>0</v>
      </c>
      <c r="J35">
        <v>1</v>
      </c>
      <c r="K35">
        <v>1</v>
      </c>
      <c r="M35">
        <v>1880.7890199999999</v>
      </c>
      <c r="N35">
        <v>187.38946623317401</v>
      </c>
      <c r="P35">
        <f>'2W.Cap'!S35</f>
        <v>0.99679819382331458</v>
      </c>
      <c r="R35">
        <f>'2W.Cap'!X35</f>
        <v>0.14514452069037223</v>
      </c>
      <c r="S35">
        <f>'2W.Cap'!Y35</f>
        <v>0.85381576211270538</v>
      </c>
      <c r="U35">
        <f>'2W.Cap'!H35</f>
        <v>2792</v>
      </c>
      <c r="V35">
        <f>'2W.Cap'!I35</f>
        <v>706940</v>
      </c>
      <c r="X35">
        <f t="shared" si="2"/>
        <v>9.741602528237369E-3</v>
      </c>
      <c r="Y35">
        <f t="shared" si="2"/>
        <v>2.8782685631347673E-3</v>
      </c>
    </row>
    <row r="36" spans="1:25" x14ac:dyDescent="0.2">
      <c r="A36" s="2">
        <v>2020</v>
      </c>
      <c r="B36">
        <f t="shared" si="0"/>
        <v>33.091908932093716</v>
      </c>
      <c r="C36">
        <f t="shared" si="1"/>
        <v>2111.2887882272234</v>
      </c>
      <c r="H36">
        <v>0</v>
      </c>
      <c r="I36">
        <v>0</v>
      </c>
      <c r="J36">
        <v>1</v>
      </c>
      <c r="K36">
        <v>1</v>
      </c>
      <c r="M36">
        <v>1949.1049259921965</v>
      </c>
      <c r="N36">
        <v>203.28673507036603</v>
      </c>
      <c r="P36">
        <f>'2W.Cap'!S36</f>
        <v>0.99600292516363675</v>
      </c>
      <c r="R36">
        <f>'2W.Cap'!X36</f>
        <v>0.16278439869989167</v>
      </c>
      <c r="S36">
        <f>'2W.Cap'!Y36</f>
        <v>0.83613217768147341</v>
      </c>
      <c r="U36">
        <f>'2W.Cap'!H36</f>
        <v>3005</v>
      </c>
      <c r="V36">
        <f>'2W.Cap'!I36</f>
        <v>731836</v>
      </c>
      <c r="X36">
        <f t="shared" si="2"/>
        <v>1.1012282506520371E-2</v>
      </c>
      <c r="Y36">
        <f t="shared" si="2"/>
        <v>2.8849206491990331E-3</v>
      </c>
    </row>
    <row r="37" spans="1:25" x14ac:dyDescent="0.2">
      <c r="A37" s="2">
        <v>2021</v>
      </c>
      <c r="B37">
        <f t="shared" si="0"/>
        <v>43.253520726088936</v>
      </c>
      <c r="C37">
        <f t="shared" si="1"/>
        <v>2154.5449009783838</v>
      </c>
      <c r="H37">
        <v>0</v>
      </c>
      <c r="I37">
        <v>0</v>
      </c>
      <c r="J37">
        <v>1</v>
      </c>
      <c r="K37">
        <v>1</v>
      </c>
      <c r="M37">
        <v>1992.5892455573903</v>
      </c>
      <c r="N37">
        <v>216.67195011159134</v>
      </c>
      <c r="P37">
        <f>'2W.Cap'!S37</f>
        <v>0.99452559443857869</v>
      </c>
      <c r="R37">
        <f>'2W.Cap'!X37</f>
        <v>0.19962676619568115</v>
      </c>
      <c r="S37">
        <f>'2W.Cap'!Y37</f>
        <v>0.79781391628898957</v>
      </c>
      <c r="U37">
        <f>'2W.Cap'!H37</f>
        <v>3744</v>
      </c>
      <c r="V37">
        <f>'2W.Cap'!I37</f>
        <v>748721</v>
      </c>
      <c r="X37">
        <f t="shared" si="2"/>
        <v>1.1552756604190421E-2</v>
      </c>
      <c r="Y37">
        <f t="shared" si="2"/>
        <v>2.8776338595797148E-3</v>
      </c>
    </row>
    <row r="38" spans="1:25" x14ac:dyDescent="0.2">
      <c r="A38" s="2">
        <v>2022</v>
      </c>
    </row>
    <row r="39" spans="1:25" x14ac:dyDescent="0.2">
      <c r="A39"/>
    </row>
    <row r="40" spans="1:25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36"/>
      <c r="K40" s="36"/>
      <c r="L40" s="44"/>
      <c r="X40">
        <f>AVERAGE(X6:X37)</f>
        <v>6.5730350301359593E-3</v>
      </c>
      <c r="Y40">
        <f>AVERAGE(Y6:Y37)</f>
        <v>3.5622488080631542E-3</v>
      </c>
    </row>
    <row r="41" spans="1:25" x14ac:dyDescent="0.2">
      <c r="B41" s="36"/>
      <c r="C41" s="36"/>
      <c r="D41" s="44"/>
      <c r="E41" s="36"/>
      <c r="F41" s="36"/>
      <c r="G41" s="44"/>
      <c r="H41" s="36"/>
      <c r="I41" s="36"/>
      <c r="J41" s="36"/>
      <c r="K41" s="36"/>
      <c r="L41" s="44"/>
    </row>
    <row r="42" spans="1:25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36"/>
      <c r="K42" s="36"/>
      <c r="L42" s="44"/>
      <c r="X42">
        <f>_xlfn.VAR.S(X6:X37)</f>
        <v>2.7374779378897092E-5</v>
      </c>
      <c r="Y42">
        <f>_xlfn.VAR.S(Y6:Y37)</f>
        <v>1.0702744884449739E-6</v>
      </c>
    </row>
    <row r="43" spans="1:25" x14ac:dyDescent="0.2">
      <c r="A43" s="2" t="s">
        <v>86</v>
      </c>
      <c r="X43">
        <f>STDEV(X6:X37)</f>
        <v>5.2320913007034859E-3</v>
      </c>
      <c r="Y43">
        <f>STDEV(Y6:Y37)</f>
        <v>1.0345407137686627E-3</v>
      </c>
    </row>
    <row r="44" spans="1:25" x14ac:dyDescent="0.2">
      <c r="A44" s="2" t="s">
        <v>95</v>
      </c>
      <c r="X44">
        <f>X43/X40</f>
        <v>0.79599321724522487</v>
      </c>
      <c r="Y44">
        <f>Y43/Y40</f>
        <v>0.29041787070767727</v>
      </c>
    </row>
    <row r="45" spans="1:25" x14ac:dyDescent="0.2">
      <c r="A45" s="2" t="s">
        <v>96</v>
      </c>
      <c r="X45">
        <f>AVEDEV(X6:X38)</f>
        <v>4.251506206024382E-3</v>
      </c>
      <c r="Y45">
        <f>AVEDEV(Y6:Y38)</f>
        <v>7.6620624447844786E-4</v>
      </c>
    </row>
    <row r="46" spans="1:25" x14ac:dyDescent="0.2">
      <c r="A46" s="2" t="s">
        <v>97</v>
      </c>
      <c r="X46">
        <f>X45/X40</f>
        <v>0.64681021575758169</v>
      </c>
      <c r="Y46">
        <f>Y45/Y40</f>
        <v>0.21509060308873967</v>
      </c>
    </row>
    <row r="48" spans="1:25" s="36" customFormat="1" ht="47" customHeight="1" x14ac:dyDescent="0.2">
      <c r="A48" s="11" t="s">
        <v>6</v>
      </c>
      <c r="D48" s="35"/>
      <c r="E48" s="69" t="s">
        <v>325</v>
      </c>
      <c r="F48" s="69"/>
      <c r="G48" s="35"/>
      <c r="L48" s="35"/>
    </row>
    <row r="49" spans="1:11" ht="17" x14ac:dyDescent="0.2">
      <c r="A49" s="11" t="s">
        <v>7</v>
      </c>
      <c r="B49" s="45"/>
      <c r="C49" s="45"/>
      <c r="E49" s="45" t="s">
        <v>324</v>
      </c>
      <c r="F49" s="45"/>
      <c r="H49" s="45"/>
      <c r="I49" s="45"/>
      <c r="J49" s="45"/>
      <c r="K49" s="45"/>
    </row>
  </sheetData>
  <mergeCells count="11">
    <mergeCell ref="U2:V2"/>
    <mergeCell ref="E48:F48"/>
    <mergeCell ref="M2:N2"/>
    <mergeCell ref="B1:C1"/>
    <mergeCell ref="E1:F1"/>
    <mergeCell ref="H1:I1"/>
    <mergeCell ref="J1:K1"/>
    <mergeCell ref="B2:C2"/>
    <mergeCell ref="E2:F2"/>
    <mergeCell ref="H2:I2"/>
    <mergeCell ref="J2:K2"/>
  </mergeCells>
  <hyperlinks>
    <hyperlink ref="E49" r:id="rId1" xr:uid="{CCE058FB-CAC2-AC46-AB49-18D5796C56F4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58-C2A9-A34B-95C5-2F3A594A0EBE}">
  <dimension ref="A1:P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9" max="9" width="13.83203125" bestFit="1" customWidth="1"/>
    <col min="10" max="10" width="10.83203125" style="7"/>
  </cols>
  <sheetData>
    <row r="1" spans="1:16" s="2" customFormat="1" ht="55" customHeight="1" x14ac:dyDescent="0.2">
      <c r="B1" s="105" t="s">
        <v>264</v>
      </c>
      <c r="C1" s="105"/>
      <c r="D1" s="43"/>
      <c r="E1" s="105" t="s">
        <v>126</v>
      </c>
      <c r="F1" s="105"/>
      <c r="G1" s="43"/>
      <c r="H1" s="105" t="s">
        <v>164</v>
      </c>
      <c r="I1" s="105"/>
      <c r="J1" s="43"/>
    </row>
    <row r="2" spans="1:16" s="2" customFormat="1" x14ac:dyDescent="0.2">
      <c r="B2" s="56" t="s">
        <v>26</v>
      </c>
      <c r="C2" s="56"/>
      <c r="D2" s="12"/>
      <c r="E2" s="56" t="s">
        <v>26</v>
      </c>
      <c r="F2" s="56"/>
      <c r="G2" s="12"/>
      <c r="H2" s="56" t="s">
        <v>26</v>
      </c>
      <c r="I2" s="56"/>
      <c r="J2" s="12"/>
      <c r="L2" s="56" t="s">
        <v>296</v>
      </c>
      <c r="M2" s="56"/>
      <c r="O2" s="56" t="s">
        <v>160</v>
      </c>
      <c r="P2" s="56"/>
    </row>
    <row r="3" spans="1:16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L3" s="2" t="s">
        <v>37</v>
      </c>
      <c r="M3" s="2" t="s">
        <v>54</v>
      </c>
      <c r="O3" s="2" t="s">
        <v>37</v>
      </c>
      <c r="P3" s="2" t="s">
        <v>54</v>
      </c>
    </row>
    <row r="4" spans="1:16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L4" s="2" t="s">
        <v>297</v>
      </c>
      <c r="M4" s="2" t="s">
        <v>298</v>
      </c>
      <c r="O4" s="2" t="s">
        <v>297</v>
      </c>
      <c r="P4" s="2" t="s">
        <v>298</v>
      </c>
    </row>
    <row r="5" spans="1:16" s="11" customFormat="1" ht="34" x14ac:dyDescent="0.2">
      <c r="A5" s="11" t="s">
        <v>90</v>
      </c>
      <c r="D5" s="16"/>
      <c r="E5" s="11" t="s">
        <v>301</v>
      </c>
      <c r="F5" s="11" t="s">
        <v>301</v>
      </c>
      <c r="G5" s="16"/>
      <c r="H5" s="11" t="s">
        <v>302</v>
      </c>
      <c r="I5" s="11" t="s">
        <v>302</v>
      </c>
      <c r="J5" s="16"/>
      <c r="L5" s="11" t="s">
        <v>273</v>
      </c>
      <c r="M5" s="11" t="s">
        <v>129</v>
      </c>
      <c r="O5" s="11" t="s">
        <v>299</v>
      </c>
      <c r="P5" s="11" t="s">
        <v>300</v>
      </c>
    </row>
    <row r="6" spans="1:16" x14ac:dyDescent="0.2">
      <c r="A6" s="2">
        <v>1990</v>
      </c>
      <c r="B6">
        <v>0.08</v>
      </c>
      <c r="C6">
        <v>0</v>
      </c>
      <c r="L6">
        <v>0.3</v>
      </c>
      <c r="M6">
        <v>32</v>
      </c>
    </row>
    <row r="7" spans="1:16" x14ac:dyDescent="0.2">
      <c r="A7" s="2">
        <v>1991</v>
      </c>
      <c r="L7">
        <v>0.3</v>
      </c>
      <c r="M7">
        <v>32</v>
      </c>
    </row>
    <row r="8" spans="1:16" x14ac:dyDescent="0.2">
      <c r="A8" s="2">
        <v>1992</v>
      </c>
      <c r="L8">
        <v>0.3</v>
      </c>
      <c r="M8">
        <v>32</v>
      </c>
    </row>
    <row r="9" spans="1:16" x14ac:dyDescent="0.2">
      <c r="A9" s="2">
        <v>1993</v>
      </c>
      <c r="L9">
        <v>0.3</v>
      </c>
      <c r="M9">
        <v>32</v>
      </c>
    </row>
    <row r="10" spans="1:16" x14ac:dyDescent="0.2">
      <c r="A10" s="2">
        <v>1994</v>
      </c>
      <c r="L10">
        <v>0.3</v>
      </c>
      <c r="M10">
        <v>32</v>
      </c>
    </row>
    <row r="11" spans="1:16" x14ac:dyDescent="0.2">
      <c r="A11" s="2">
        <v>1995</v>
      </c>
      <c r="L11">
        <v>0.3</v>
      </c>
      <c r="M11">
        <v>32</v>
      </c>
    </row>
    <row r="12" spans="1:16" x14ac:dyDescent="0.2">
      <c r="A12" s="2">
        <v>1996</v>
      </c>
      <c r="L12">
        <v>0.3</v>
      </c>
      <c r="M12">
        <v>32</v>
      </c>
    </row>
    <row r="13" spans="1:16" x14ac:dyDescent="0.2">
      <c r="A13" s="2">
        <v>1997</v>
      </c>
      <c r="L13">
        <v>0.3</v>
      </c>
      <c r="M13">
        <v>32</v>
      </c>
    </row>
    <row r="14" spans="1:16" x14ac:dyDescent="0.2">
      <c r="A14" s="2">
        <v>1998</v>
      </c>
      <c r="L14">
        <v>0.3</v>
      </c>
      <c r="M14">
        <v>32</v>
      </c>
    </row>
    <row r="15" spans="1:16" x14ac:dyDescent="0.2">
      <c r="A15" s="2">
        <v>1999</v>
      </c>
      <c r="E15">
        <f>L15*O15</f>
        <v>3393.7469134725598</v>
      </c>
      <c r="L15">
        <v>0.3</v>
      </c>
      <c r="M15">
        <v>32</v>
      </c>
      <c r="O15">
        <v>11312.489711575199</v>
      </c>
    </row>
    <row r="16" spans="1:16" x14ac:dyDescent="0.2">
      <c r="A16" s="2">
        <v>2000</v>
      </c>
      <c r="L16">
        <v>0.3</v>
      </c>
      <c r="M16">
        <v>32</v>
      </c>
    </row>
    <row r="17" spans="1:16" x14ac:dyDescent="0.2">
      <c r="A17" s="2">
        <v>2001</v>
      </c>
      <c r="E17">
        <f t="shared" ref="E17:F28" si="0">L17*O17</f>
        <v>3078.67752585996</v>
      </c>
      <c r="L17">
        <v>0.3</v>
      </c>
      <c r="M17">
        <v>32</v>
      </c>
      <c r="O17">
        <v>10262.2584195332</v>
      </c>
    </row>
    <row r="18" spans="1:16" x14ac:dyDescent="0.2">
      <c r="A18" s="2">
        <v>2002</v>
      </c>
      <c r="E18">
        <f t="shared" si="0"/>
        <v>2894.6424470207126</v>
      </c>
      <c r="L18">
        <v>0.3</v>
      </c>
      <c r="M18">
        <v>32</v>
      </c>
      <c r="O18">
        <v>9648.8081567357094</v>
      </c>
    </row>
    <row r="19" spans="1:16" x14ac:dyDescent="0.2">
      <c r="A19" s="2">
        <v>2003</v>
      </c>
      <c r="L19">
        <v>0.3</v>
      </c>
      <c r="M19">
        <v>32</v>
      </c>
    </row>
    <row r="20" spans="1:16" x14ac:dyDescent="0.2">
      <c r="A20" s="2">
        <v>2004</v>
      </c>
      <c r="L20">
        <v>0.3</v>
      </c>
      <c r="M20">
        <v>32</v>
      </c>
    </row>
    <row r="21" spans="1:16" x14ac:dyDescent="0.2">
      <c r="A21" s="2">
        <v>2005</v>
      </c>
      <c r="L21">
        <v>0.3</v>
      </c>
      <c r="M21">
        <v>32</v>
      </c>
    </row>
    <row r="22" spans="1:16" x14ac:dyDescent="0.2">
      <c r="A22" s="2">
        <v>2006</v>
      </c>
      <c r="E22">
        <f t="shared" si="0"/>
        <v>2149.566230455026</v>
      </c>
      <c r="L22">
        <v>0.3</v>
      </c>
      <c r="M22">
        <v>32</v>
      </c>
      <c r="O22">
        <v>7165.2207681834198</v>
      </c>
    </row>
    <row r="23" spans="1:16" x14ac:dyDescent="0.2">
      <c r="A23" s="2">
        <v>2007</v>
      </c>
      <c r="L23">
        <v>0.3</v>
      </c>
      <c r="M23">
        <v>32</v>
      </c>
    </row>
    <row r="24" spans="1:16" x14ac:dyDescent="0.2">
      <c r="A24" s="2">
        <v>2008</v>
      </c>
      <c r="E24">
        <f t="shared" si="0"/>
        <v>1960.023268003278</v>
      </c>
      <c r="L24">
        <v>0.3</v>
      </c>
      <c r="M24">
        <v>32</v>
      </c>
      <c r="O24">
        <v>6533.4108933442603</v>
      </c>
    </row>
    <row r="25" spans="1:16" x14ac:dyDescent="0.2">
      <c r="A25" s="2">
        <v>2009</v>
      </c>
      <c r="E25">
        <f t="shared" si="0"/>
        <v>1910.2906072570738</v>
      </c>
      <c r="L25">
        <v>0.3</v>
      </c>
      <c r="M25">
        <v>32</v>
      </c>
      <c r="O25">
        <v>6367.6353575235798</v>
      </c>
    </row>
    <row r="26" spans="1:16" x14ac:dyDescent="0.2">
      <c r="A26" s="2">
        <v>2010</v>
      </c>
      <c r="E26">
        <f t="shared" si="0"/>
        <v>1852.39830544392</v>
      </c>
      <c r="L26">
        <v>0.3</v>
      </c>
      <c r="M26">
        <v>32</v>
      </c>
      <c r="O26">
        <v>6174.6610181464002</v>
      </c>
    </row>
    <row r="27" spans="1:16" x14ac:dyDescent="0.2">
      <c r="A27" s="2">
        <v>2011</v>
      </c>
      <c r="E27">
        <f t="shared" si="0"/>
        <v>1814.7425049105539</v>
      </c>
      <c r="L27">
        <v>0.3</v>
      </c>
      <c r="M27">
        <v>32</v>
      </c>
      <c r="O27">
        <v>6049.14168303518</v>
      </c>
    </row>
    <row r="28" spans="1:16" x14ac:dyDescent="0.2">
      <c r="A28" s="2">
        <v>2012</v>
      </c>
      <c r="E28">
        <f t="shared" si="0"/>
        <v>1777.8750687159541</v>
      </c>
      <c r="F28">
        <f t="shared" si="0"/>
        <v>7232</v>
      </c>
      <c r="H28">
        <f>0.12*0.1*1000000</f>
        <v>12000</v>
      </c>
      <c r="I28">
        <f>0.33*0.1*1000000</f>
        <v>33000</v>
      </c>
      <c r="L28">
        <v>0.3</v>
      </c>
      <c r="M28">
        <v>32</v>
      </c>
      <c r="O28">
        <v>5926.2502290531802</v>
      </c>
      <c r="P28">
        <v>226</v>
      </c>
    </row>
    <row r="29" spans="1:16" x14ac:dyDescent="0.2">
      <c r="A29" s="2">
        <v>2013</v>
      </c>
      <c r="L29">
        <v>0.3</v>
      </c>
      <c r="M29">
        <v>32</v>
      </c>
    </row>
    <row r="30" spans="1:16" x14ac:dyDescent="0.2">
      <c r="A30" s="2">
        <v>2014</v>
      </c>
      <c r="L30">
        <v>0.3</v>
      </c>
      <c r="M30">
        <v>32</v>
      </c>
    </row>
    <row r="31" spans="1:16" x14ac:dyDescent="0.2">
      <c r="A31" s="2">
        <v>2015</v>
      </c>
      <c r="L31">
        <v>0.3</v>
      </c>
      <c r="M31">
        <v>32</v>
      </c>
    </row>
    <row r="32" spans="1:16" x14ac:dyDescent="0.2">
      <c r="A32" s="2">
        <v>2016</v>
      </c>
      <c r="L32">
        <v>0.3</v>
      </c>
      <c r="M32">
        <v>32</v>
      </c>
    </row>
    <row r="33" spans="1:13" x14ac:dyDescent="0.2">
      <c r="A33" s="2">
        <v>2017</v>
      </c>
      <c r="L33">
        <v>0.3</v>
      </c>
      <c r="M33">
        <v>32</v>
      </c>
    </row>
    <row r="34" spans="1:13" x14ac:dyDescent="0.2">
      <c r="A34" s="2">
        <v>2018</v>
      </c>
      <c r="L34">
        <v>0.3</v>
      </c>
      <c r="M34">
        <v>32</v>
      </c>
    </row>
    <row r="35" spans="1:13" x14ac:dyDescent="0.2">
      <c r="A35" s="2">
        <v>2019</v>
      </c>
      <c r="L35">
        <v>0.3</v>
      </c>
      <c r="M35">
        <v>32</v>
      </c>
    </row>
    <row r="36" spans="1:13" x14ac:dyDescent="0.2">
      <c r="A36" s="2">
        <v>2020</v>
      </c>
      <c r="L36">
        <v>0.3</v>
      </c>
      <c r="M36">
        <v>32</v>
      </c>
    </row>
    <row r="37" spans="1:13" x14ac:dyDescent="0.2">
      <c r="A37" s="2">
        <v>2021</v>
      </c>
      <c r="L37">
        <v>0.3</v>
      </c>
      <c r="M37">
        <v>32</v>
      </c>
    </row>
    <row r="38" spans="1:13" x14ac:dyDescent="0.2">
      <c r="A38" s="2">
        <v>2022</v>
      </c>
      <c r="L38">
        <v>0.3</v>
      </c>
      <c r="M38">
        <v>32</v>
      </c>
    </row>
    <row r="39" spans="1:13" x14ac:dyDescent="0.2">
      <c r="A39"/>
    </row>
    <row r="40" spans="1:13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44"/>
    </row>
    <row r="41" spans="1:13" x14ac:dyDescent="0.2">
      <c r="B41" s="36"/>
      <c r="C41" s="36"/>
      <c r="D41" s="44"/>
      <c r="E41" s="36"/>
      <c r="F41" s="36"/>
      <c r="G41" s="44"/>
      <c r="H41" s="36"/>
      <c r="I41" s="36"/>
      <c r="J41" s="44"/>
    </row>
    <row r="42" spans="1:13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44"/>
    </row>
    <row r="43" spans="1:13" x14ac:dyDescent="0.2">
      <c r="A43" s="2" t="s">
        <v>86</v>
      </c>
    </row>
    <row r="44" spans="1:13" x14ac:dyDescent="0.2">
      <c r="A44" s="2" t="s">
        <v>95</v>
      </c>
    </row>
    <row r="45" spans="1:13" x14ac:dyDescent="0.2">
      <c r="A45" s="2" t="s">
        <v>96</v>
      </c>
    </row>
    <row r="46" spans="1:13" x14ac:dyDescent="0.2">
      <c r="A46" s="2" t="s">
        <v>97</v>
      </c>
    </row>
    <row r="47" spans="1:13" ht="31" customHeight="1" x14ac:dyDescent="0.2"/>
    <row r="48" spans="1:13" s="36" customFormat="1" ht="66" customHeight="1" x14ac:dyDescent="0.2">
      <c r="A48" s="11" t="s">
        <v>6</v>
      </c>
      <c r="B48" s="36" t="s">
        <v>294</v>
      </c>
      <c r="D48" s="35"/>
      <c r="E48" s="36" t="s">
        <v>294</v>
      </c>
      <c r="F48" s="36" t="s">
        <v>294</v>
      </c>
      <c r="G48" s="35"/>
      <c r="H48" s="36" t="s">
        <v>294</v>
      </c>
      <c r="I48" s="36" t="s">
        <v>294</v>
      </c>
      <c r="J48" s="35"/>
    </row>
    <row r="49" spans="1:10" s="36" customFormat="1" ht="32" customHeight="1" x14ac:dyDescent="0.2">
      <c r="A49" s="11" t="s">
        <v>7</v>
      </c>
      <c r="B49" s="37" t="s">
        <v>293</v>
      </c>
      <c r="C49" s="37"/>
      <c r="D49" s="35"/>
      <c r="E49" s="37" t="s">
        <v>293</v>
      </c>
      <c r="F49" s="37" t="s">
        <v>293</v>
      </c>
      <c r="G49" s="35"/>
      <c r="H49" s="37" t="s">
        <v>293</v>
      </c>
      <c r="I49" s="37" t="s">
        <v>293</v>
      </c>
      <c r="J49" s="35"/>
    </row>
  </sheetData>
  <mergeCells count="8">
    <mergeCell ref="L2:M2"/>
    <mergeCell ref="O2:P2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723-A002-B64E-97E9-79E5A48345CE}">
  <dimension ref="A1:G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baseColWidth="10" defaultRowHeight="16" x14ac:dyDescent="0.2"/>
  <cols>
    <col min="1" max="1" width="11.6640625" style="2" bestFit="1" customWidth="1"/>
    <col min="2" max="3" width="12.1640625" bestFit="1" customWidth="1"/>
    <col min="4" max="4" width="10.83203125" style="7"/>
    <col min="7" max="7" width="10.83203125" style="7"/>
  </cols>
  <sheetData>
    <row r="1" spans="1:7" s="2" customFormat="1" ht="55" customHeight="1" x14ac:dyDescent="0.2">
      <c r="B1" s="82" t="s">
        <v>242</v>
      </c>
      <c r="C1" s="82"/>
      <c r="D1" s="43"/>
      <c r="E1" s="82" t="s">
        <v>243</v>
      </c>
      <c r="F1" s="82"/>
      <c r="G1" s="43"/>
    </row>
    <row r="2" spans="1:7" s="2" customFormat="1" x14ac:dyDescent="0.2">
      <c r="B2" s="56" t="s">
        <v>26</v>
      </c>
      <c r="C2" s="56"/>
      <c r="D2" s="12"/>
      <c r="E2" s="56" t="s">
        <v>26</v>
      </c>
      <c r="F2" s="56"/>
      <c r="G2" s="12"/>
    </row>
    <row r="3" spans="1:7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</row>
    <row r="4" spans="1:7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</row>
    <row r="5" spans="1:7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</row>
    <row r="6" spans="1:7" x14ac:dyDescent="0.2">
      <c r="A6" s="2">
        <v>1990</v>
      </c>
      <c r="E6">
        <v>1</v>
      </c>
      <c r="F6">
        <v>1</v>
      </c>
    </row>
    <row r="7" spans="1:7" x14ac:dyDescent="0.2">
      <c r="A7" s="2">
        <v>1991</v>
      </c>
    </row>
    <row r="8" spans="1:7" x14ac:dyDescent="0.2">
      <c r="A8" s="2">
        <v>1992</v>
      </c>
    </row>
    <row r="9" spans="1:7" x14ac:dyDescent="0.2">
      <c r="A9" s="2">
        <v>1993</v>
      </c>
    </row>
    <row r="10" spans="1:7" x14ac:dyDescent="0.2">
      <c r="A10" s="2">
        <v>1994</v>
      </c>
    </row>
    <row r="11" spans="1:7" x14ac:dyDescent="0.2">
      <c r="A11" s="2">
        <v>1995</v>
      </c>
    </row>
    <row r="12" spans="1:7" x14ac:dyDescent="0.2">
      <c r="A12" s="2">
        <v>1996</v>
      </c>
    </row>
    <row r="13" spans="1:7" x14ac:dyDescent="0.2">
      <c r="A13" s="2">
        <v>1997</v>
      </c>
    </row>
    <row r="14" spans="1:7" x14ac:dyDescent="0.2">
      <c r="A14" s="2">
        <v>1998</v>
      </c>
    </row>
    <row r="15" spans="1:7" x14ac:dyDescent="0.2">
      <c r="A15" s="2">
        <v>1999</v>
      </c>
    </row>
    <row r="16" spans="1:7" x14ac:dyDescent="0.2">
      <c r="A16" s="2">
        <v>2000</v>
      </c>
    </row>
    <row r="17" spans="1:3" x14ac:dyDescent="0.2">
      <c r="A17" s="2">
        <v>2001</v>
      </c>
    </row>
    <row r="18" spans="1:3" x14ac:dyDescent="0.2">
      <c r="A18" s="2">
        <v>2002</v>
      </c>
    </row>
    <row r="19" spans="1:3" x14ac:dyDescent="0.2">
      <c r="A19" s="2">
        <v>2003</v>
      </c>
    </row>
    <row r="20" spans="1:3" x14ac:dyDescent="0.2">
      <c r="A20" s="2">
        <v>2004</v>
      </c>
    </row>
    <row r="21" spans="1:3" x14ac:dyDescent="0.2">
      <c r="A21" s="2">
        <v>2005</v>
      </c>
    </row>
    <row r="22" spans="1:3" x14ac:dyDescent="0.2">
      <c r="A22" s="2">
        <v>2006</v>
      </c>
    </row>
    <row r="23" spans="1:3" x14ac:dyDescent="0.2">
      <c r="A23" s="2">
        <v>2007</v>
      </c>
    </row>
    <row r="24" spans="1:3" x14ac:dyDescent="0.2">
      <c r="A24" s="2">
        <v>2008</v>
      </c>
    </row>
    <row r="25" spans="1:3" x14ac:dyDescent="0.2">
      <c r="A25" s="2">
        <v>2009</v>
      </c>
    </row>
    <row r="26" spans="1:3" x14ac:dyDescent="0.2">
      <c r="A26" s="2">
        <v>2010</v>
      </c>
    </row>
    <row r="27" spans="1:3" x14ac:dyDescent="0.2">
      <c r="A27" s="2">
        <v>2011</v>
      </c>
    </row>
    <row r="28" spans="1:3" x14ac:dyDescent="0.2">
      <c r="A28" s="2">
        <v>2012</v>
      </c>
      <c r="B28">
        <f>100/(1.5*1000000*0.0000036)</f>
        <v>18.518518518518519</v>
      </c>
      <c r="C28">
        <f>100/(41*1000000*0.0000036)</f>
        <v>0.6775067750677507</v>
      </c>
    </row>
    <row r="29" spans="1:3" x14ac:dyDescent="0.2">
      <c r="A29" s="2">
        <v>2013</v>
      </c>
    </row>
    <row r="30" spans="1:3" x14ac:dyDescent="0.2">
      <c r="A30" s="2">
        <v>2014</v>
      </c>
    </row>
    <row r="31" spans="1:3" x14ac:dyDescent="0.2">
      <c r="A31" s="2">
        <v>2015</v>
      </c>
    </row>
    <row r="32" spans="1:3" x14ac:dyDescent="0.2">
      <c r="A32" s="2">
        <v>2016</v>
      </c>
    </row>
    <row r="33" spans="1:7" x14ac:dyDescent="0.2">
      <c r="A33" s="2">
        <v>2017</v>
      </c>
    </row>
    <row r="34" spans="1:7" x14ac:dyDescent="0.2">
      <c r="A34" s="2">
        <v>2018</v>
      </c>
    </row>
    <row r="35" spans="1:7" x14ac:dyDescent="0.2">
      <c r="A35" s="2">
        <v>2019</v>
      </c>
    </row>
    <row r="36" spans="1:7" x14ac:dyDescent="0.2">
      <c r="A36" s="2">
        <v>2020</v>
      </c>
    </row>
    <row r="37" spans="1:7" x14ac:dyDescent="0.2">
      <c r="A37" s="2">
        <v>2021</v>
      </c>
    </row>
    <row r="38" spans="1:7" x14ac:dyDescent="0.2">
      <c r="A38" s="2">
        <v>2022</v>
      </c>
    </row>
    <row r="39" spans="1:7" x14ac:dyDescent="0.2">
      <c r="A39"/>
    </row>
    <row r="40" spans="1:7" x14ac:dyDescent="0.2">
      <c r="A40" s="2" t="s">
        <v>40</v>
      </c>
      <c r="B40" s="36"/>
      <c r="C40" s="36"/>
      <c r="D40" s="44"/>
      <c r="E40" s="36"/>
      <c r="F40" s="36"/>
      <c r="G40" s="44"/>
    </row>
    <row r="41" spans="1:7" x14ac:dyDescent="0.2">
      <c r="B41" s="36"/>
      <c r="C41" s="36"/>
      <c r="D41" s="44"/>
      <c r="E41" s="36"/>
      <c r="F41" s="36"/>
      <c r="G41" s="44"/>
    </row>
    <row r="42" spans="1:7" x14ac:dyDescent="0.2">
      <c r="A42" s="2" t="s">
        <v>85</v>
      </c>
      <c r="B42" s="36"/>
      <c r="C42" s="36"/>
      <c r="D42" s="44"/>
      <c r="E42" s="36"/>
      <c r="F42" s="36"/>
      <c r="G42" s="44"/>
    </row>
    <row r="43" spans="1:7" x14ac:dyDescent="0.2">
      <c r="A43" s="2" t="s">
        <v>86</v>
      </c>
    </row>
    <row r="44" spans="1:7" x14ac:dyDescent="0.2">
      <c r="A44" s="2" t="s">
        <v>95</v>
      </c>
    </row>
    <row r="45" spans="1:7" x14ac:dyDescent="0.2">
      <c r="A45" s="2" t="s">
        <v>96</v>
      </c>
    </row>
    <row r="46" spans="1:7" x14ac:dyDescent="0.2">
      <c r="A46" s="2" t="s">
        <v>97</v>
      </c>
    </row>
    <row r="48" spans="1:7" s="36" customFormat="1" ht="65" customHeight="1" x14ac:dyDescent="0.2">
      <c r="A48" s="11" t="s">
        <v>6</v>
      </c>
      <c r="B48" s="69" t="s">
        <v>295</v>
      </c>
      <c r="C48" s="69"/>
      <c r="D48" s="35"/>
      <c r="G48" s="35"/>
    </row>
    <row r="49" spans="1:7" s="36" customFormat="1" ht="87" customHeight="1" x14ac:dyDescent="0.2">
      <c r="A49" s="11" t="s">
        <v>7</v>
      </c>
      <c r="B49" s="93" t="s">
        <v>293</v>
      </c>
      <c r="C49" s="93"/>
      <c r="D49" s="35"/>
      <c r="E49" s="37"/>
      <c r="F49" s="37"/>
      <c r="G49" s="35"/>
    </row>
  </sheetData>
  <mergeCells count="6">
    <mergeCell ref="B1:C1"/>
    <mergeCell ref="E1:F1"/>
    <mergeCell ref="B2:C2"/>
    <mergeCell ref="E2:F2"/>
    <mergeCell ref="B49:C49"/>
    <mergeCell ref="B48:C4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1C7-8DAF-C947-988E-C6B747CBE443}">
  <dimension ref="A1:CB45"/>
  <sheetViews>
    <sheetView zoomScaleNormal="100" workbookViewId="0">
      <pane xSplit="1" ySplit="5" topLeftCell="Y6" activePane="bottomRight" state="frozen"/>
      <selection pane="topRight" activeCell="B1" sqref="B1"/>
      <selection pane="bottomLeft" activeCell="A5" sqref="A5"/>
      <selection pane="bottomRight" activeCell="AO7" sqref="AO7"/>
    </sheetView>
  </sheetViews>
  <sheetFormatPr baseColWidth="10" defaultRowHeight="16" outlineLevelCol="1" x14ac:dyDescent="0.2"/>
  <cols>
    <col min="1" max="1" width="10.83203125" style="2"/>
    <col min="2" max="2" width="17.6640625" bestFit="1" customWidth="1"/>
    <col min="3" max="3" width="10.83203125" style="7"/>
    <col min="14" max="14" width="10.83203125" style="7"/>
    <col min="27" max="27" width="10.83203125" style="7"/>
    <col min="38" max="38" width="10.83203125" style="7"/>
    <col min="49" max="49" width="10.83203125" style="7"/>
    <col min="50" max="55" width="10.83203125" customWidth="1" outlineLevel="1"/>
    <col min="56" max="56" width="10" customWidth="1" outlineLevel="1"/>
    <col min="57" max="68" width="10.83203125" customWidth="1" outlineLevel="1"/>
    <col min="69" max="69" width="10.83203125" style="7" customWidth="1" outlineLevel="1"/>
    <col min="70" max="80" width="10.83203125" customWidth="1" outlineLevel="1"/>
  </cols>
  <sheetData>
    <row r="1" spans="1:80" s="2" customFormat="1" ht="51" customHeight="1" x14ac:dyDescent="0.2">
      <c r="B1" s="27" t="s">
        <v>179</v>
      </c>
      <c r="C1" s="33"/>
      <c r="D1" s="57" t="s">
        <v>199</v>
      </c>
      <c r="E1" s="57"/>
      <c r="F1" s="57"/>
      <c r="G1" s="57"/>
      <c r="H1" s="57"/>
      <c r="I1" s="57"/>
      <c r="J1" s="57"/>
      <c r="K1" s="57"/>
      <c r="L1" s="57"/>
      <c r="M1" s="57"/>
      <c r="N1" s="6"/>
      <c r="O1" s="57" t="s">
        <v>2</v>
      </c>
      <c r="P1" s="57"/>
      <c r="Q1" s="57"/>
      <c r="R1" s="57"/>
      <c r="S1" s="57"/>
      <c r="T1" s="57"/>
      <c r="U1" s="57"/>
      <c r="V1" s="57"/>
      <c r="W1" s="57"/>
      <c r="X1" s="57"/>
      <c r="Y1" s="10"/>
      <c r="Z1" s="10"/>
      <c r="AA1" s="6"/>
      <c r="AB1" s="57" t="s">
        <v>46</v>
      </c>
      <c r="AC1" s="57"/>
      <c r="AD1" s="57"/>
      <c r="AE1" s="57"/>
      <c r="AF1" s="57"/>
      <c r="AG1" s="57"/>
      <c r="AH1" s="57"/>
      <c r="AI1" s="57"/>
      <c r="AJ1" s="57"/>
      <c r="AK1" s="57"/>
      <c r="AL1" s="6"/>
      <c r="AM1" s="57" t="s">
        <v>31</v>
      </c>
      <c r="AN1" s="57"/>
      <c r="AO1" s="57"/>
      <c r="AP1" s="57"/>
      <c r="AQ1" s="57"/>
      <c r="AR1" s="57"/>
      <c r="AS1" s="57"/>
      <c r="AT1" s="57"/>
      <c r="AU1" s="57"/>
      <c r="AV1" s="57"/>
      <c r="AW1" s="6"/>
      <c r="AX1" s="58" t="s">
        <v>177</v>
      </c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60"/>
      <c r="BQ1" s="26"/>
      <c r="BR1" s="61" t="s">
        <v>178</v>
      </c>
      <c r="BS1" s="62"/>
      <c r="BT1" s="62"/>
      <c r="BU1" s="62"/>
      <c r="BV1" s="62"/>
      <c r="BW1" s="62"/>
      <c r="BX1" s="62"/>
      <c r="BY1" s="62"/>
      <c r="BZ1" s="62"/>
      <c r="CA1" s="62"/>
      <c r="CB1" s="63"/>
    </row>
    <row r="2" spans="1:80" s="2" customFormat="1" x14ac:dyDescent="0.2">
      <c r="B2" s="1" t="s">
        <v>26</v>
      </c>
      <c r="C2" s="12"/>
      <c r="N2" s="6"/>
      <c r="O2" s="56" t="s">
        <v>26</v>
      </c>
      <c r="P2" s="56"/>
      <c r="Q2" s="56"/>
      <c r="R2" s="56"/>
      <c r="S2" s="56"/>
      <c r="T2" s="56"/>
      <c r="U2" s="56"/>
      <c r="V2" s="56"/>
      <c r="W2" s="56"/>
      <c r="X2" s="56"/>
      <c r="Y2" s="1"/>
      <c r="Z2" s="1" t="s">
        <v>89</v>
      </c>
      <c r="AA2" s="6"/>
      <c r="AB2" s="56" t="s">
        <v>26</v>
      </c>
      <c r="AC2" s="56"/>
      <c r="AD2" s="56"/>
      <c r="AE2" s="56"/>
      <c r="AF2" s="56"/>
      <c r="AG2" s="56"/>
      <c r="AH2" s="56"/>
      <c r="AI2" s="56"/>
      <c r="AJ2" s="56"/>
      <c r="AK2" s="56"/>
      <c r="AL2" s="6"/>
      <c r="AM2" s="56" t="s">
        <v>26</v>
      </c>
      <c r="AN2" s="56"/>
      <c r="AO2" s="56"/>
      <c r="AP2" s="56"/>
      <c r="AQ2" s="56"/>
      <c r="AR2" s="56"/>
      <c r="AS2" s="56"/>
      <c r="AT2" s="56"/>
      <c r="AU2" s="56"/>
      <c r="AV2" s="56"/>
      <c r="AW2" s="6"/>
      <c r="AX2" s="56" t="s">
        <v>32</v>
      </c>
      <c r="AY2" s="56"/>
      <c r="AZ2" s="56"/>
      <c r="BA2" s="56"/>
      <c r="BB2" s="56"/>
      <c r="BD2" s="56" t="s">
        <v>27</v>
      </c>
      <c r="BE2" s="56"/>
      <c r="BF2" s="56"/>
      <c r="BG2" s="56"/>
      <c r="BH2" s="56"/>
      <c r="BI2" s="56"/>
      <c r="BJ2" s="56"/>
      <c r="BK2" s="56"/>
      <c r="BL2" s="56"/>
      <c r="BM2" s="56"/>
      <c r="BN2" s="56"/>
      <c r="BQ2" s="6"/>
      <c r="BR2" s="56" t="s">
        <v>30</v>
      </c>
      <c r="BS2" s="56"/>
      <c r="BT2" s="56"/>
      <c r="BU2" s="56"/>
      <c r="BV2" s="56"/>
      <c r="BW2" s="56"/>
      <c r="BX2" s="56"/>
      <c r="BY2" s="56"/>
      <c r="BZ2" s="56"/>
      <c r="CA2" s="56"/>
    </row>
    <row r="3" spans="1:80" s="2" customFormat="1" x14ac:dyDescent="0.2">
      <c r="A3" s="2" t="s">
        <v>52</v>
      </c>
      <c r="B3" s="2" t="s">
        <v>37</v>
      </c>
      <c r="C3" s="6"/>
      <c r="D3" s="2" t="s">
        <v>37</v>
      </c>
      <c r="E3" s="2" t="s">
        <v>34</v>
      </c>
      <c r="F3" s="2" t="s">
        <v>14</v>
      </c>
      <c r="G3" s="2" t="s">
        <v>14</v>
      </c>
      <c r="H3" s="2" t="s">
        <v>53</v>
      </c>
      <c r="I3" s="2" t="s">
        <v>54</v>
      </c>
      <c r="J3" s="2" t="s">
        <v>54</v>
      </c>
      <c r="K3" s="2" t="s">
        <v>54</v>
      </c>
      <c r="L3" s="2" t="s">
        <v>55</v>
      </c>
      <c r="M3" s="2" t="s">
        <v>56</v>
      </c>
      <c r="N3" s="6"/>
      <c r="O3" s="2" t="s">
        <v>37</v>
      </c>
      <c r="P3" s="2" t="s">
        <v>34</v>
      </c>
      <c r="Q3" s="2" t="s">
        <v>14</v>
      </c>
      <c r="R3" s="2" t="s">
        <v>14</v>
      </c>
      <c r="S3" s="2" t="s">
        <v>53</v>
      </c>
      <c r="T3" s="2" t="s">
        <v>54</v>
      </c>
      <c r="U3" s="2" t="s">
        <v>54</v>
      </c>
      <c r="V3" s="2" t="s">
        <v>54</v>
      </c>
      <c r="W3" s="2" t="s">
        <v>55</v>
      </c>
      <c r="X3" s="2" t="s">
        <v>56</v>
      </c>
      <c r="AA3" s="6"/>
      <c r="AB3" s="2" t="s">
        <v>37</v>
      </c>
      <c r="AC3" s="2" t="s">
        <v>34</v>
      </c>
      <c r="AD3" s="2" t="s">
        <v>14</v>
      </c>
      <c r="AE3" s="2" t="s">
        <v>14</v>
      </c>
      <c r="AF3" s="2" t="s">
        <v>53</v>
      </c>
      <c r="AG3" s="2" t="s">
        <v>54</v>
      </c>
      <c r="AH3" s="2" t="s">
        <v>54</v>
      </c>
      <c r="AI3" s="2" t="s">
        <v>54</v>
      </c>
      <c r="AJ3" s="2" t="s">
        <v>55</v>
      </c>
      <c r="AK3" s="2" t="s">
        <v>56</v>
      </c>
      <c r="AL3" s="6"/>
      <c r="AW3" s="6"/>
      <c r="BD3" s="2" t="s">
        <v>37</v>
      </c>
      <c r="BE3" s="2" t="s">
        <v>34</v>
      </c>
      <c r="BF3" s="2" t="s">
        <v>14</v>
      </c>
      <c r="BG3" s="2" t="s">
        <v>14</v>
      </c>
      <c r="BH3" s="2" t="s">
        <v>53</v>
      </c>
      <c r="BI3" s="2" t="s">
        <v>54</v>
      </c>
      <c r="BJ3" s="2" t="s">
        <v>54</v>
      </c>
      <c r="BK3" s="2" t="s">
        <v>54</v>
      </c>
      <c r="BL3" s="2" t="s">
        <v>55</v>
      </c>
      <c r="BM3" s="2" t="s">
        <v>56</v>
      </c>
      <c r="BQ3" s="6"/>
      <c r="BR3" s="2" t="s">
        <v>37</v>
      </c>
      <c r="BS3" s="2" t="s">
        <v>34</v>
      </c>
      <c r="BT3" s="2" t="s">
        <v>14</v>
      </c>
      <c r="BU3" s="2" t="s">
        <v>14</v>
      </c>
      <c r="BV3" s="2" t="s">
        <v>53</v>
      </c>
      <c r="BW3" s="2" t="s">
        <v>54</v>
      </c>
      <c r="BX3" s="2" t="s">
        <v>54</v>
      </c>
      <c r="BY3" s="2" t="s">
        <v>54</v>
      </c>
      <c r="BZ3" s="2" t="s">
        <v>55</v>
      </c>
      <c r="CA3" s="2" t="s">
        <v>56</v>
      </c>
    </row>
    <row r="4" spans="1:80" s="2" customFormat="1" x14ac:dyDescent="0.2">
      <c r="A4" s="2" t="s">
        <v>51</v>
      </c>
      <c r="B4" s="2" t="s">
        <v>13</v>
      </c>
      <c r="C4" s="6"/>
      <c r="D4" s="2" t="s">
        <v>13</v>
      </c>
      <c r="E4" s="2" t="s">
        <v>16</v>
      </c>
      <c r="F4" s="2" t="s">
        <v>10</v>
      </c>
      <c r="G4" s="2" t="s">
        <v>21</v>
      </c>
      <c r="H4" s="2" t="s">
        <v>12</v>
      </c>
      <c r="I4" s="2" t="s">
        <v>9</v>
      </c>
      <c r="J4" s="2" t="s">
        <v>22</v>
      </c>
      <c r="K4" s="2" t="s">
        <v>11</v>
      </c>
      <c r="L4" s="2" t="s">
        <v>23</v>
      </c>
      <c r="M4" s="2" t="s">
        <v>24</v>
      </c>
      <c r="N4" s="6"/>
      <c r="O4" s="2" t="s">
        <v>13</v>
      </c>
      <c r="P4" s="2" t="s">
        <v>16</v>
      </c>
      <c r="Q4" s="2" t="s">
        <v>10</v>
      </c>
      <c r="R4" s="2" t="s">
        <v>21</v>
      </c>
      <c r="S4" s="2" t="s">
        <v>12</v>
      </c>
      <c r="T4" s="2" t="s">
        <v>9</v>
      </c>
      <c r="U4" s="2" t="s">
        <v>22</v>
      </c>
      <c r="V4" s="2" t="s">
        <v>11</v>
      </c>
      <c r="W4" s="2" t="s">
        <v>23</v>
      </c>
      <c r="X4" s="2" t="s">
        <v>24</v>
      </c>
      <c r="Z4" s="2" t="s">
        <v>59</v>
      </c>
      <c r="AA4" s="6"/>
      <c r="AB4" s="2" t="s">
        <v>13</v>
      </c>
      <c r="AC4" s="2" t="s">
        <v>16</v>
      </c>
      <c r="AD4" s="2" t="s">
        <v>10</v>
      </c>
      <c r="AE4" s="2" t="s">
        <v>21</v>
      </c>
      <c r="AF4" s="2" t="s">
        <v>12</v>
      </c>
      <c r="AG4" s="2" t="s">
        <v>9</v>
      </c>
      <c r="AH4" s="2" t="s">
        <v>22</v>
      </c>
      <c r="AI4" s="2" t="s">
        <v>11</v>
      </c>
      <c r="AJ4" s="2" t="s">
        <v>23</v>
      </c>
      <c r="AK4" s="2" t="s">
        <v>24</v>
      </c>
      <c r="AL4" s="6"/>
      <c r="AM4" s="2" t="s">
        <v>13</v>
      </c>
      <c r="AN4" s="2" t="s">
        <v>16</v>
      </c>
      <c r="AO4" s="2" t="s">
        <v>10</v>
      </c>
      <c r="AP4" s="2" t="s">
        <v>21</v>
      </c>
      <c r="AQ4" s="2" t="s">
        <v>12</v>
      </c>
      <c r="AR4" s="2" t="s">
        <v>9</v>
      </c>
      <c r="AS4" s="2" t="s">
        <v>22</v>
      </c>
      <c r="AT4" s="2" t="s">
        <v>11</v>
      </c>
      <c r="AU4" s="2" t="s">
        <v>23</v>
      </c>
      <c r="AV4" s="2" t="s">
        <v>24</v>
      </c>
      <c r="AW4" s="6"/>
      <c r="AX4" s="2" t="s">
        <v>14</v>
      </c>
      <c r="AY4" s="2" t="s">
        <v>15</v>
      </c>
      <c r="AZ4" s="2" t="s">
        <v>16</v>
      </c>
      <c r="BA4" s="2" t="s">
        <v>17</v>
      </c>
      <c r="BB4" s="2" t="s">
        <v>18</v>
      </c>
      <c r="BD4" s="2" t="s">
        <v>13</v>
      </c>
      <c r="BE4" s="2" t="s">
        <v>16</v>
      </c>
      <c r="BF4" s="2" t="s">
        <v>10</v>
      </c>
      <c r="BG4" s="2" t="s">
        <v>21</v>
      </c>
      <c r="BH4" s="2" t="s">
        <v>12</v>
      </c>
      <c r="BI4" s="2" t="s">
        <v>9</v>
      </c>
      <c r="BJ4" s="2" t="s">
        <v>22</v>
      </c>
      <c r="BK4" s="2" t="s">
        <v>11</v>
      </c>
      <c r="BL4" s="2" t="s">
        <v>23</v>
      </c>
      <c r="BM4" s="2" t="s">
        <v>24</v>
      </c>
      <c r="BN4" s="2" t="s">
        <v>18</v>
      </c>
      <c r="BP4" s="2" t="s">
        <v>20</v>
      </c>
      <c r="BQ4" s="6"/>
      <c r="BR4" s="2" t="s">
        <v>13</v>
      </c>
      <c r="BS4" s="2" t="s">
        <v>16</v>
      </c>
      <c r="BT4" s="2" t="s">
        <v>10</v>
      </c>
      <c r="BU4" s="2" t="s">
        <v>21</v>
      </c>
      <c r="BV4" s="2" t="s">
        <v>12</v>
      </c>
      <c r="BW4" s="2" t="s">
        <v>9</v>
      </c>
      <c r="BX4" s="2" t="s">
        <v>22</v>
      </c>
      <c r="BY4" s="2" t="s">
        <v>11</v>
      </c>
      <c r="BZ4" s="2" t="s">
        <v>23</v>
      </c>
      <c r="CA4" s="2" t="s">
        <v>24</v>
      </c>
    </row>
    <row r="5" spans="1:80" s="2" customFormat="1" x14ac:dyDescent="0.2">
      <c r="A5" s="2" t="s">
        <v>90</v>
      </c>
      <c r="B5" s="2" t="s">
        <v>92</v>
      </c>
      <c r="C5" s="6"/>
      <c r="D5" s="2" t="s">
        <v>92</v>
      </c>
      <c r="E5" s="2" t="s">
        <v>92</v>
      </c>
      <c r="F5" s="2" t="s">
        <v>92</v>
      </c>
      <c r="G5" s="2" t="s">
        <v>92</v>
      </c>
      <c r="H5" s="2" t="s">
        <v>92</v>
      </c>
      <c r="I5" s="2" t="s">
        <v>92</v>
      </c>
      <c r="J5" s="2" t="s">
        <v>92</v>
      </c>
      <c r="K5" s="2" t="s">
        <v>92</v>
      </c>
      <c r="L5" s="2" t="s">
        <v>92</v>
      </c>
      <c r="M5" s="2" t="s">
        <v>92</v>
      </c>
      <c r="N5" s="6"/>
      <c r="O5" s="2" t="s">
        <v>92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  <c r="U5" s="2" t="s">
        <v>92</v>
      </c>
      <c r="V5" s="2" t="s">
        <v>92</v>
      </c>
      <c r="W5" s="2" t="s">
        <v>92</v>
      </c>
      <c r="X5" s="2" t="s">
        <v>92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6"/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6"/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  <c r="BD5" s="2" t="s">
        <v>92</v>
      </c>
      <c r="BE5" s="2" t="s">
        <v>92</v>
      </c>
      <c r="BF5" s="2" t="s">
        <v>92</v>
      </c>
      <c r="BG5" s="2" t="s">
        <v>92</v>
      </c>
      <c r="BH5" s="2" t="s">
        <v>92</v>
      </c>
      <c r="BI5" s="2" t="s">
        <v>92</v>
      </c>
      <c r="BJ5" s="2" t="s">
        <v>92</v>
      </c>
      <c r="BK5" s="2" t="s">
        <v>92</v>
      </c>
      <c r="BL5" s="2" t="s">
        <v>92</v>
      </c>
      <c r="BM5" s="2" t="s">
        <v>92</v>
      </c>
      <c r="BN5" s="2" t="s">
        <v>92</v>
      </c>
      <c r="BP5" s="2" t="s">
        <v>92</v>
      </c>
      <c r="BQ5" s="6"/>
      <c r="BR5" s="2" t="s">
        <v>92</v>
      </c>
      <c r="BS5" s="2" t="s">
        <v>92</v>
      </c>
      <c r="BT5" s="2" t="s">
        <v>92</v>
      </c>
      <c r="BU5" s="2" t="s">
        <v>92</v>
      </c>
      <c r="BV5" s="2" t="s">
        <v>92</v>
      </c>
      <c r="BW5" s="2" t="s">
        <v>92</v>
      </c>
      <c r="BX5" s="2" t="s">
        <v>92</v>
      </c>
      <c r="BY5" s="2" t="s">
        <v>92</v>
      </c>
      <c r="BZ5" s="2" t="s">
        <v>92</v>
      </c>
      <c r="CA5" s="2" t="s">
        <v>92</v>
      </c>
    </row>
    <row r="6" spans="1:80" x14ac:dyDescent="0.2">
      <c r="A6" s="8">
        <v>1990</v>
      </c>
      <c r="B6">
        <v>12</v>
      </c>
      <c r="D6">
        <f>MAX(MAX(AB6:AB38)*1.2,2000)</f>
        <v>38420.400000000001</v>
      </c>
      <c r="E6">
        <f t="shared" ref="E6:M6" si="0">MAX(MAX(AC6:AC38)*1.2,2000)</f>
        <v>4101.5999999999995</v>
      </c>
      <c r="F6">
        <f t="shared" si="0"/>
        <v>153478.79999999999</v>
      </c>
      <c r="G6">
        <f t="shared" si="0"/>
        <v>11769.6</v>
      </c>
      <c r="H6">
        <f t="shared" si="0"/>
        <v>2000</v>
      </c>
      <c r="I6">
        <f t="shared" si="0"/>
        <v>253848</v>
      </c>
      <c r="J6">
        <f t="shared" si="0"/>
        <v>53685.599999999999</v>
      </c>
      <c r="K6">
        <f t="shared" si="0"/>
        <v>25477.200000000001</v>
      </c>
      <c r="L6">
        <f t="shared" si="0"/>
        <v>2000</v>
      </c>
      <c r="M6">
        <f t="shared" si="0"/>
        <v>2000</v>
      </c>
      <c r="O6">
        <f t="shared" ref="O6:O20" si="1">AY6</f>
        <v>409</v>
      </c>
      <c r="P6">
        <f t="shared" ref="P6:P20" si="2">AZ6-SUM(R6,S6,U6,V6,W6,X6)</f>
        <v>97</v>
      </c>
      <c r="Q6">
        <f t="shared" ref="Q6:Q20" si="3">AX6</f>
        <v>79129</v>
      </c>
      <c r="R6">
        <v>0</v>
      </c>
      <c r="S6">
        <v>0</v>
      </c>
      <c r="T6">
        <f t="shared" ref="T6:T20" si="4">BA6</f>
        <v>2905762</v>
      </c>
      <c r="U6">
        <v>0</v>
      </c>
      <c r="V6">
        <v>0</v>
      </c>
      <c r="W6">
        <v>0</v>
      </c>
      <c r="X6">
        <v>0</v>
      </c>
      <c r="Z6" t="b">
        <f t="shared" ref="Z6:Z37" si="5">SUM(O6:X6) = BB6</f>
        <v>1</v>
      </c>
      <c r="AX6">
        <v>79129</v>
      </c>
      <c r="AY6">
        <v>409</v>
      </c>
      <c r="AZ6">
        <v>97</v>
      </c>
      <c r="BA6">
        <v>2905762</v>
      </c>
      <c r="BB6">
        <v>2985397</v>
      </c>
    </row>
    <row r="7" spans="1:80" x14ac:dyDescent="0.2">
      <c r="A7" s="8">
        <v>1991</v>
      </c>
      <c r="O7">
        <f t="shared" si="1"/>
        <v>671</v>
      </c>
      <c r="P7">
        <f t="shared" si="2"/>
        <v>90</v>
      </c>
      <c r="Q7">
        <f t="shared" si="3"/>
        <v>81883</v>
      </c>
      <c r="R7">
        <v>0</v>
      </c>
      <c r="S7">
        <v>0</v>
      </c>
      <c r="T7">
        <f t="shared" si="4"/>
        <v>2975154</v>
      </c>
      <c r="U7">
        <v>0</v>
      </c>
      <c r="V7">
        <v>0</v>
      </c>
      <c r="W7">
        <v>0</v>
      </c>
      <c r="X7">
        <v>0</v>
      </c>
      <c r="Z7" t="b">
        <f t="shared" si="5"/>
        <v>1</v>
      </c>
      <c r="AB7">
        <f>O7-O6</f>
        <v>262</v>
      </c>
      <c r="AD7">
        <f t="shared" ref="AD7:AD19" si="6">ROUND(_xlfn.FORECAST.LINEAR(A7,AD$21:AD$32,A$21:A$32),0)</f>
        <v>6415</v>
      </c>
      <c r="AE7">
        <v>0</v>
      </c>
      <c r="AF7">
        <v>0</v>
      </c>
      <c r="AG7">
        <f t="shared" ref="AG7:AG19" si="7">ROUND(_xlfn.FORECAST.LINEAR($A7,AG$21:AG$32,$A$21:$A$32),0)</f>
        <v>193096</v>
      </c>
      <c r="AH7">
        <v>0</v>
      </c>
      <c r="AI7">
        <v>0</v>
      </c>
      <c r="AJ7">
        <f t="shared" ref="AJ7:AJ21" si="8">W7-W6</f>
        <v>0</v>
      </c>
      <c r="AK7">
        <v>0</v>
      </c>
      <c r="AM7">
        <f t="shared" ref="AM7:AM37" si="9">O6+AB7-O7</f>
        <v>0</v>
      </c>
      <c r="AN7">
        <f t="shared" ref="AN7:AN37" si="10">P6+AC7-P7</f>
        <v>7</v>
      </c>
      <c r="AO7">
        <f t="shared" ref="AO7:AO37" si="11">Q6+AD7-Q7</f>
        <v>3661</v>
      </c>
      <c r="AP7">
        <f t="shared" ref="AP7:AP37" si="12">R6+AE7-R7</f>
        <v>0</v>
      </c>
      <c r="AQ7">
        <f t="shared" ref="AQ7:AQ37" si="13">S6+AF7-S7</f>
        <v>0</v>
      </c>
      <c r="AR7">
        <f t="shared" ref="AR7:AR37" si="14">T6+AG7-T7</f>
        <v>123704</v>
      </c>
      <c r="AS7">
        <f t="shared" ref="AS7:AS37" si="15">U6+AH7-U7</f>
        <v>0</v>
      </c>
      <c r="AT7">
        <f t="shared" ref="AT7:AT37" si="16">V6+AI7-V7</f>
        <v>0</v>
      </c>
      <c r="AU7">
        <f t="shared" ref="AU7:AU37" si="17">W6+AJ7-W7</f>
        <v>0</v>
      </c>
      <c r="AV7">
        <f t="shared" ref="AV7:AV37" si="18">X6+AK7-X7</f>
        <v>0</v>
      </c>
      <c r="AX7">
        <v>81883</v>
      </c>
      <c r="AY7">
        <v>671</v>
      </c>
      <c r="AZ7">
        <v>90</v>
      </c>
      <c r="BA7">
        <v>2975154</v>
      </c>
      <c r="BB7">
        <v>3057798</v>
      </c>
    </row>
    <row r="8" spans="1:80" x14ac:dyDescent="0.2">
      <c r="A8" s="8">
        <v>1992</v>
      </c>
      <c r="O8">
        <f t="shared" si="1"/>
        <v>771</v>
      </c>
      <c r="P8">
        <f t="shared" si="2"/>
        <v>151</v>
      </c>
      <c r="Q8">
        <f t="shared" si="3"/>
        <v>83640</v>
      </c>
      <c r="R8">
        <v>0</v>
      </c>
      <c r="S8">
        <v>0</v>
      </c>
      <c r="T8">
        <f t="shared" si="4"/>
        <v>3006666</v>
      </c>
      <c r="U8">
        <v>0</v>
      </c>
      <c r="V8">
        <v>0</v>
      </c>
      <c r="W8">
        <v>0</v>
      </c>
      <c r="X8">
        <v>0</v>
      </c>
      <c r="Z8" t="b">
        <f t="shared" si="5"/>
        <v>1</v>
      </c>
      <c r="AB8">
        <f>O8-O7</f>
        <v>100</v>
      </c>
      <c r="AC8">
        <f t="shared" ref="AC8:AC21" si="19">P8-P7</f>
        <v>61</v>
      </c>
      <c r="AD8">
        <f t="shared" si="6"/>
        <v>11328</v>
      </c>
      <c r="AE8">
        <v>0</v>
      </c>
      <c r="AF8">
        <v>0</v>
      </c>
      <c r="AG8">
        <f t="shared" si="7"/>
        <v>192895</v>
      </c>
      <c r="AH8">
        <v>0</v>
      </c>
      <c r="AI8">
        <v>0</v>
      </c>
      <c r="AJ8">
        <f t="shared" si="8"/>
        <v>0</v>
      </c>
      <c r="AK8">
        <v>0</v>
      </c>
      <c r="AM8">
        <f t="shared" si="9"/>
        <v>0</v>
      </c>
      <c r="AN8">
        <f t="shared" si="10"/>
        <v>0</v>
      </c>
      <c r="AO8">
        <f t="shared" si="11"/>
        <v>9571</v>
      </c>
      <c r="AP8">
        <f t="shared" si="12"/>
        <v>0</v>
      </c>
      <c r="AQ8">
        <f t="shared" si="13"/>
        <v>0</v>
      </c>
      <c r="AR8">
        <f t="shared" si="14"/>
        <v>161383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X8">
        <v>83640</v>
      </c>
      <c r="AY8">
        <v>771</v>
      </c>
      <c r="AZ8">
        <v>151</v>
      </c>
      <c r="BA8">
        <v>3006666</v>
      </c>
      <c r="BB8">
        <v>3091228</v>
      </c>
    </row>
    <row r="9" spans="1:80" x14ac:dyDescent="0.2">
      <c r="A9" s="8">
        <v>1993</v>
      </c>
      <c r="O9">
        <f t="shared" si="1"/>
        <v>774</v>
      </c>
      <c r="P9">
        <f t="shared" si="2"/>
        <v>284</v>
      </c>
      <c r="Q9">
        <f t="shared" si="3"/>
        <v>85703</v>
      </c>
      <c r="R9">
        <v>0</v>
      </c>
      <c r="S9">
        <v>0</v>
      </c>
      <c r="T9">
        <f t="shared" si="4"/>
        <v>3022762</v>
      </c>
      <c r="U9">
        <v>0</v>
      </c>
      <c r="V9">
        <v>0</v>
      </c>
      <c r="W9">
        <v>0</v>
      </c>
      <c r="X9">
        <v>0</v>
      </c>
      <c r="Z9" t="b">
        <f t="shared" si="5"/>
        <v>1</v>
      </c>
      <c r="AB9">
        <f>O9-O8</f>
        <v>3</v>
      </c>
      <c r="AC9">
        <f t="shared" si="19"/>
        <v>133</v>
      </c>
      <c r="AD9">
        <f t="shared" si="6"/>
        <v>16242</v>
      </c>
      <c r="AE9">
        <v>0</v>
      </c>
      <c r="AF9">
        <v>0</v>
      </c>
      <c r="AG9">
        <f t="shared" si="7"/>
        <v>192694</v>
      </c>
      <c r="AH9">
        <v>0</v>
      </c>
      <c r="AI9">
        <v>0</v>
      </c>
      <c r="AJ9">
        <f t="shared" si="8"/>
        <v>0</v>
      </c>
      <c r="AK9">
        <v>0</v>
      </c>
      <c r="AM9">
        <f t="shared" si="9"/>
        <v>0</v>
      </c>
      <c r="AN9">
        <f t="shared" si="10"/>
        <v>0</v>
      </c>
      <c r="AO9">
        <f t="shared" si="11"/>
        <v>14179</v>
      </c>
      <c r="AP9">
        <f t="shared" si="12"/>
        <v>0</v>
      </c>
      <c r="AQ9">
        <f t="shared" si="13"/>
        <v>0</v>
      </c>
      <c r="AR9">
        <f t="shared" si="14"/>
        <v>176598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X9">
        <v>85703</v>
      </c>
      <c r="AY9">
        <v>774</v>
      </c>
      <c r="AZ9">
        <v>284</v>
      </c>
      <c r="BA9">
        <v>3022762</v>
      </c>
      <c r="BB9">
        <v>3109523</v>
      </c>
    </row>
    <row r="10" spans="1:80" x14ac:dyDescent="0.2">
      <c r="A10" s="8">
        <v>1994</v>
      </c>
      <c r="O10">
        <f t="shared" si="1"/>
        <v>775</v>
      </c>
      <c r="P10">
        <f t="shared" si="2"/>
        <v>458</v>
      </c>
      <c r="Q10">
        <f t="shared" si="3"/>
        <v>90747</v>
      </c>
      <c r="R10">
        <v>0</v>
      </c>
      <c r="S10">
        <v>0</v>
      </c>
      <c r="T10">
        <f t="shared" si="4"/>
        <v>3073062</v>
      </c>
      <c r="U10">
        <v>0</v>
      </c>
      <c r="V10">
        <v>0</v>
      </c>
      <c r="W10">
        <v>0</v>
      </c>
      <c r="X10">
        <v>0</v>
      </c>
      <c r="Z10" t="b">
        <f t="shared" si="5"/>
        <v>1</v>
      </c>
      <c r="AB10">
        <f>O10-O9</f>
        <v>1</v>
      </c>
      <c r="AC10">
        <f t="shared" si="19"/>
        <v>174</v>
      </c>
      <c r="AD10">
        <f t="shared" si="6"/>
        <v>21155</v>
      </c>
      <c r="AE10">
        <v>0</v>
      </c>
      <c r="AF10">
        <v>0</v>
      </c>
      <c r="AG10">
        <f t="shared" si="7"/>
        <v>192492</v>
      </c>
      <c r="AH10">
        <v>0</v>
      </c>
      <c r="AI10">
        <v>0</v>
      </c>
      <c r="AJ10">
        <f t="shared" si="8"/>
        <v>0</v>
      </c>
      <c r="AK10">
        <v>0</v>
      </c>
      <c r="AM10">
        <f t="shared" si="9"/>
        <v>0</v>
      </c>
      <c r="AN10">
        <f t="shared" si="10"/>
        <v>0</v>
      </c>
      <c r="AO10">
        <f t="shared" si="11"/>
        <v>16111</v>
      </c>
      <c r="AP10">
        <f t="shared" si="12"/>
        <v>0</v>
      </c>
      <c r="AQ10">
        <f t="shared" si="13"/>
        <v>0</v>
      </c>
      <c r="AR10">
        <f t="shared" si="14"/>
        <v>142192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X10">
        <v>90747</v>
      </c>
      <c r="AY10">
        <v>775</v>
      </c>
      <c r="AZ10">
        <v>458</v>
      </c>
      <c r="BA10">
        <v>3073062</v>
      </c>
      <c r="BB10">
        <v>3165042</v>
      </c>
    </row>
    <row r="11" spans="1:80" x14ac:dyDescent="0.2">
      <c r="A11" s="8">
        <v>1995</v>
      </c>
      <c r="O11">
        <f>AY11</f>
        <v>770</v>
      </c>
      <c r="P11">
        <f t="shared" si="2"/>
        <v>583</v>
      </c>
      <c r="Q11">
        <f t="shared" si="3"/>
        <v>95585</v>
      </c>
      <c r="R11">
        <v>0</v>
      </c>
      <c r="S11">
        <v>0</v>
      </c>
      <c r="T11">
        <f t="shared" si="4"/>
        <v>3132238</v>
      </c>
      <c r="U11">
        <v>0</v>
      </c>
      <c r="V11">
        <v>0</v>
      </c>
      <c r="W11">
        <v>0</v>
      </c>
      <c r="X11">
        <v>0</v>
      </c>
      <c r="Z11" t="b">
        <f t="shared" si="5"/>
        <v>1</v>
      </c>
      <c r="AB11">
        <v>0</v>
      </c>
      <c r="AC11">
        <f t="shared" si="19"/>
        <v>125</v>
      </c>
      <c r="AD11">
        <f t="shared" si="6"/>
        <v>26068</v>
      </c>
      <c r="AE11">
        <v>0</v>
      </c>
      <c r="AF11">
        <v>0</v>
      </c>
      <c r="AG11">
        <f t="shared" si="7"/>
        <v>192291</v>
      </c>
      <c r="AH11">
        <v>0</v>
      </c>
      <c r="AI11">
        <v>0</v>
      </c>
      <c r="AJ11">
        <f t="shared" si="8"/>
        <v>0</v>
      </c>
      <c r="AK11">
        <v>0</v>
      </c>
      <c r="AM11">
        <f t="shared" si="9"/>
        <v>5</v>
      </c>
      <c r="AN11">
        <f t="shared" si="10"/>
        <v>0</v>
      </c>
      <c r="AO11">
        <f t="shared" si="11"/>
        <v>21230</v>
      </c>
      <c r="AP11">
        <f t="shared" si="12"/>
        <v>0</v>
      </c>
      <c r="AQ11">
        <f t="shared" si="13"/>
        <v>0</v>
      </c>
      <c r="AR11">
        <f t="shared" si="14"/>
        <v>133115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X11">
        <v>95585</v>
      </c>
      <c r="AY11">
        <v>770</v>
      </c>
      <c r="AZ11">
        <v>583</v>
      </c>
      <c r="BA11">
        <v>3132238</v>
      </c>
      <c r="BB11">
        <v>3229176</v>
      </c>
    </row>
    <row r="12" spans="1:80" x14ac:dyDescent="0.2">
      <c r="A12" s="8">
        <v>1996</v>
      </c>
      <c r="O12">
        <f t="shared" si="1"/>
        <v>759</v>
      </c>
      <c r="P12">
        <f t="shared" si="2"/>
        <v>623</v>
      </c>
      <c r="Q12">
        <f t="shared" si="3"/>
        <v>100412</v>
      </c>
      <c r="R12">
        <v>0</v>
      </c>
      <c r="S12">
        <v>0</v>
      </c>
      <c r="T12">
        <f t="shared" si="4"/>
        <v>3166299</v>
      </c>
      <c r="U12">
        <v>0</v>
      </c>
      <c r="V12">
        <v>0</v>
      </c>
      <c r="W12">
        <v>0</v>
      </c>
      <c r="X12">
        <v>0</v>
      </c>
      <c r="Z12" t="b">
        <f t="shared" si="5"/>
        <v>1</v>
      </c>
      <c r="AB12">
        <v>0</v>
      </c>
      <c r="AC12">
        <f t="shared" si="19"/>
        <v>40</v>
      </c>
      <c r="AD12">
        <f t="shared" si="6"/>
        <v>30981</v>
      </c>
      <c r="AE12">
        <v>0</v>
      </c>
      <c r="AF12">
        <v>0</v>
      </c>
      <c r="AG12">
        <f t="shared" si="7"/>
        <v>192090</v>
      </c>
      <c r="AH12">
        <v>0</v>
      </c>
      <c r="AI12">
        <v>0</v>
      </c>
      <c r="AJ12">
        <f t="shared" si="8"/>
        <v>0</v>
      </c>
      <c r="AK12">
        <v>0</v>
      </c>
      <c r="AM12">
        <f t="shared" si="9"/>
        <v>11</v>
      </c>
      <c r="AN12">
        <f t="shared" si="10"/>
        <v>0</v>
      </c>
      <c r="AO12">
        <f t="shared" si="11"/>
        <v>26154</v>
      </c>
      <c r="AP12">
        <f t="shared" si="12"/>
        <v>0</v>
      </c>
      <c r="AQ12">
        <f t="shared" si="13"/>
        <v>0</v>
      </c>
      <c r="AR12">
        <f t="shared" si="14"/>
        <v>158029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X12">
        <v>100412</v>
      </c>
      <c r="AY12">
        <v>759</v>
      </c>
      <c r="AZ12">
        <v>623</v>
      </c>
      <c r="BA12">
        <v>3166299</v>
      </c>
      <c r="BB12">
        <v>3268093</v>
      </c>
    </row>
    <row r="13" spans="1:80" x14ac:dyDescent="0.2">
      <c r="A13" s="8">
        <v>1997</v>
      </c>
      <c r="O13">
        <f t="shared" si="1"/>
        <v>753</v>
      </c>
      <c r="P13">
        <f t="shared" si="2"/>
        <v>500</v>
      </c>
      <c r="Q13">
        <f t="shared" si="3"/>
        <v>105718</v>
      </c>
      <c r="R13">
        <v>0</v>
      </c>
      <c r="S13">
        <v>0</v>
      </c>
      <c r="T13">
        <f t="shared" si="4"/>
        <v>3216484</v>
      </c>
      <c r="U13">
        <v>0</v>
      </c>
      <c r="V13">
        <v>0</v>
      </c>
      <c r="W13">
        <v>0</v>
      </c>
      <c r="X13">
        <v>0</v>
      </c>
      <c r="Z13" t="b">
        <f t="shared" si="5"/>
        <v>1</v>
      </c>
      <c r="AB13">
        <v>0</v>
      </c>
      <c r="AC13">
        <f t="shared" si="19"/>
        <v>-123</v>
      </c>
      <c r="AD13">
        <f t="shared" si="6"/>
        <v>35894</v>
      </c>
      <c r="AE13">
        <v>0</v>
      </c>
      <c r="AF13">
        <v>0</v>
      </c>
      <c r="AG13">
        <f t="shared" si="7"/>
        <v>191889</v>
      </c>
      <c r="AH13">
        <v>0</v>
      </c>
      <c r="AI13">
        <v>0</v>
      </c>
      <c r="AJ13">
        <f t="shared" si="8"/>
        <v>0</v>
      </c>
      <c r="AK13">
        <v>0</v>
      </c>
      <c r="AM13">
        <f t="shared" si="9"/>
        <v>6</v>
      </c>
      <c r="AN13">
        <f t="shared" si="10"/>
        <v>0</v>
      </c>
      <c r="AO13">
        <f t="shared" si="11"/>
        <v>30588</v>
      </c>
      <c r="AP13">
        <f t="shared" si="12"/>
        <v>0</v>
      </c>
      <c r="AQ13">
        <f t="shared" si="13"/>
        <v>0</v>
      </c>
      <c r="AR13">
        <f t="shared" si="14"/>
        <v>141704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X13">
        <v>105718</v>
      </c>
      <c r="AY13">
        <v>753</v>
      </c>
      <c r="AZ13">
        <v>500</v>
      </c>
      <c r="BA13">
        <v>3216484</v>
      </c>
      <c r="BB13">
        <v>3323455</v>
      </c>
    </row>
    <row r="14" spans="1:80" x14ac:dyDescent="0.2">
      <c r="A14" s="8">
        <v>1998</v>
      </c>
      <c r="O14">
        <f t="shared" si="1"/>
        <v>746</v>
      </c>
      <c r="P14">
        <f t="shared" si="2"/>
        <v>423</v>
      </c>
      <c r="Q14">
        <f t="shared" si="3"/>
        <v>112736</v>
      </c>
      <c r="R14">
        <v>0</v>
      </c>
      <c r="S14">
        <v>0</v>
      </c>
      <c r="T14">
        <f t="shared" si="4"/>
        <v>3269402</v>
      </c>
      <c r="U14">
        <v>0</v>
      </c>
      <c r="V14">
        <v>0</v>
      </c>
      <c r="W14">
        <v>0</v>
      </c>
      <c r="X14">
        <v>0</v>
      </c>
      <c r="Z14" t="b">
        <f t="shared" si="5"/>
        <v>1</v>
      </c>
      <c r="AB14">
        <v>0</v>
      </c>
      <c r="AC14">
        <f t="shared" si="19"/>
        <v>-77</v>
      </c>
      <c r="AD14">
        <f t="shared" si="6"/>
        <v>40807</v>
      </c>
      <c r="AE14">
        <v>0</v>
      </c>
      <c r="AF14">
        <v>0</v>
      </c>
      <c r="AG14">
        <f t="shared" si="7"/>
        <v>191688</v>
      </c>
      <c r="AH14">
        <v>0</v>
      </c>
      <c r="AI14">
        <v>0</v>
      </c>
      <c r="AJ14">
        <f t="shared" si="8"/>
        <v>0</v>
      </c>
      <c r="AK14">
        <v>0</v>
      </c>
      <c r="AM14">
        <f t="shared" si="9"/>
        <v>7</v>
      </c>
      <c r="AN14">
        <f t="shared" si="10"/>
        <v>0</v>
      </c>
      <c r="AO14">
        <f t="shared" si="11"/>
        <v>33789</v>
      </c>
      <c r="AP14">
        <f t="shared" si="12"/>
        <v>0</v>
      </c>
      <c r="AQ14">
        <f t="shared" si="13"/>
        <v>0</v>
      </c>
      <c r="AR14">
        <f t="shared" si="14"/>
        <v>138770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X14">
        <v>112736</v>
      </c>
      <c r="AY14">
        <v>746</v>
      </c>
      <c r="AZ14">
        <v>423</v>
      </c>
      <c r="BA14">
        <v>3269402</v>
      </c>
      <c r="BB14">
        <v>3383307</v>
      </c>
    </row>
    <row r="15" spans="1:80" x14ac:dyDescent="0.2">
      <c r="A15" s="8">
        <v>1999</v>
      </c>
      <c r="O15">
        <f t="shared" si="1"/>
        <v>724</v>
      </c>
      <c r="P15">
        <f t="shared" si="2"/>
        <v>353</v>
      </c>
      <c r="Q15">
        <f t="shared" si="3"/>
        <v>123969</v>
      </c>
      <c r="R15">
        <v>0</v>
      </c>
      <c r="S15">
        <v>0</v>
      </c>
      <c r="T15">
        <f t="shared" si="4"/>
        <v>3342265</v>
      </c>
      <c r="U15">
        <v>0</v>
      </c>
      <c r="V15">
        <v>0</v>
      </c>
      <c r="W15">
        <v>0</v>
      </c>
      <c r="X15">
        <v>0</v>
      </c>
      <c r="Z15" t="b">
        <f t="shared" si="5"/>
        <v>1</v>
      </c>
      <c r="AB15">
        <v>0</v>
      </c>
      <c r="AC15">
        <f t="shared" si="19"/>
        <v>-70</v>
      </c>
      <c r="AD15">
        <f t="shared" si="6"/>
        <v>45721</v>
      </c>
      <c r="AE15">
        <v>0</v>
      </c>
      <c r="AF15">
        <v>0</v>
      </c>
      <c r="AG15">
        <f t="shared" si="7"/>
        <v>191487</v>
      </c>
      <c r="AH15">
        <v>0</v>
      </c>
      <c r="AI15">
        <v>0</v>
      </c>
      <c r="AJ15">
        <f t="shared" si="8"/>
        <v>0</v>
      </c>
      <c r="AK15">
        <v>0</v>
      </c>
      <c r="AM15">
        <f t="shared" si="9"/>
        <v>22</v>
      </c>
      <c r="AN15">
        <f t="shared" si="10"/>
        <v>0</v>
      </c>
      <c r="AO15">
        <f t="shared" si="11"/>
        <v>34488</v>
      </c>
      <c r="AP15">
        <f t="shared" si="12"/>
        <v>0</v>
      </c>
      <c r="AQ15">
        <f t="shared" si="13"/>
        <v>0</v>
      </c>
      <c r="AR15">
        <f t="shared" si="14"/>
        <v>118624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X15">
        <v>123969</v>
      </c>
      <c r="AY15">
        <v>724</v>
      </c>
      <c r="AZ15">
        <v>353</v>
      </c>
      <c r="BA15">
        <v>3342265</v>
      </c>
      <c r="BB15">
        <v>3467311</v>
      </c>
    </row>
    <row r="16" spans="1:80" x14ac:dyDescent="0.2">
      <c r="A16" s="8">
        <v>2000</v>
      </c>
      <c r="O16">
        <f t="shared" si="1"/>
        <v>754</v>
      </c>
      <c r="P16">
        <f t="shared" si="2"/>
        <v>321</v>
      </c>
      <c r="Q16">
        <f t="shared" si="3"/>
        <v>141863</v>
      </c>
      <c r="R16">
        <v>0</v>
      </c>
      <c r="S16">
        <v>0</v>
      </c>
      <c r="T16">
        <f t="shared" si="4"/>
        <v>3402309</v>
      </c>
      <c r="U16">
        <v>0</v>
      </c>
      <c r="V16">
        <v>0</v>
      </c>
      <c r="W16">
        <v>0</v>
      </c>
      <c r="X16">
        <v>0</v>
      </c>
      <c r="Z16" t="b">
        <f t="shared" si="5"/>
        <v>1</v>
      </c>
      <c r="AB16">
        <f>O16-O15</f>
        <v>30</v>
      </c>
      <c r="AC16">
        <f t="shared" si="19"/>
        <v>-32</v>
      </c>
      <c r="AD16">
        <f t="shared" si="6"/>
        <v>50634</v>
      </c>
      <c r="AE16">
        <v>0</v>
      </c>
      <c r="AF16">
        <v>0</v>
      </c>
      <c r="AG16">
        <f t="shared" si="7"/>
        <v>191285</v>
      </c>
      <c r="AH16">
        <v>0</v>
      </c>
      <c r="AI16">
        <v>0</v>
      </c>
      <c r="AJ16">
        <f t="shared" si="8"/>
        <v>0</v>
      </c>
      <c r="AK16">
        <v>0</v>
      </c>
      <c r="AM16">
        <f t="shared" si="9"/>
        <v>0</v>
      </c>
      <c r="AN16">
        <f t="shared" si="10"/>
        <v>0</v>
      </c>
      <c r="AO16">
        <f t="shared" si="11"/>
        <v>32740</v>
      </c>
      <c r="AP16">
        <f t="shared" si="12"/>
        <v>0</v>
      </c>
      <c r="AQ16">
        <f t="shared" si="13"/>
        <v>0</v>
      </c>
      <c r="AR16">
        <f t="shared" si="14"/>
        <v>131241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0</v>
      </c>
      <c r="AX16">
        <v>141863</v>
      </c>
      <c r="AY16">
        <v>754</v>
      </c>
      <c r="AZ16">
        <v>321</v>
      </c>
      <c r="BA16">
        <v>3402309</v>
      </c>
      <c r="BB16">
        <v>3545247</v>
      </c>
    </row>
    <row r="17" spans="1:79" x14ac:dyDescent="0.2">
      <c r="A17" s="8">
        <v>2001</v>
      </c>
      <c r="O17">
        <f t="shared" si="1"/>
        <v>690</v>
      </c>
      <c r="P17">
        <f t="shared" si="2"/>
        <v>367</v>
      </c>
      <c r="Q17">
        <f t="shared" si="3"/>
        <v>172097</v>
      </c>
      <c r="R17">
        <v>0</v>
      </c>
      <c r="S17">
        <v>0</v>
      </c>
      <c r="T17">
        <f t="shared" si="4"/>
        <v>3456468</v>
      </c>
      <c r="U17">
        <f>U16+ROUND((U$21-U$16)/(A$21-A$16),0)</f>
        <v>91</v>
      </c>
      <c r="V17">
        <v>0</v>
      </c>
      <c r="W17">
        <v>0</v>
      </c>
      <c r="X17">
        <v>0</v>
      </c>
      <c r="Z17" t="b">
        <f t="shared" si="5"/>
        <v>1</v>
      </c>
      <c r="AB17">
        <v>0</v>
      </c>
      <c r="AC17">
        <f t="shared" si="19"/>
        <v>46</v>
      </c>
      <c r="AD17">
        <f t="shared" si="6"/>
        <v>55547</v>
      </c>
      <c r="AE17">
        <v>0</v>
      </c>
      <c r="AF17">
        <v>0</v>
      </c>
      <c r="AG17">
        <f t="shared" si="7"/>
        <v>191084</v>
      </c>
      <c r="AH17">
        <f>U17-U16</f>
        <v>91</v>
      </c>
      <c r="AI17">
        <v>0</v>
      </c>
      <c r="AJ17">
        <f t="shared" si="8"/>
        <v>0</v>
      </c>
      <c r="AK17">
        <v>0</v>
      </c>
      <c r="AM17">
        <f t="shared" si="9"/>
        <v>64</v>
      </c>
      <c r="AN17">
        <f t="shared" si="10"/>
        <v>0</v>
      </c>
      <c r="AO17">
        <f t="shared" si="11"/>
        <v>25313</v>
      </c>
      <c r="AP17">
        <f t="shared" si="12"/>
        <v>0</v>
      </c>
      <c r="AQ17">
        <f t="shared" si="13"/>
        <v>0</v>
      </c>
      <c r="AR17">
        <f t="shared" si="14"/>
        <v>136925</v>
      </c>
      <c r="AS17">
        <f t="shared" si="15"/>
        <v>0</v>
      </c>
      <c r="AT17">
        <f t="shared" si="16"/>
        <v>0</v>
      </c>
      <c r="AU17">
        <f t="shared" si="17"/>
        <v>0</v>
      </c>
      <c r="AV17">
        <f t="shared" si="18"/>
        <v>0</v>
      </c>
      <c r="AX17">
        <v>172097</v>
      </c>
      <c r="AY17">
        <v>690</v>
      </c>
      <c r="AZ17">
        <v>458</v>
      </c>
      <c r="BA17">
        <v>3456468</v>
      </c>
      <c r="BB17">
        <v>3629713</v>
      </c>
    </row>
    <row r="18" spans="1:79" x14ac:dyDescent="0.2">
      <c r="A18" s="8">
        <v>2002</v>
      </c>
      <c r="O18">
        <f t="shared" si="1"/>
        <v>676</v>
      </c>
      <c r="P18">
        <f t="shared" si="2"/>
        <v>152</v>
      </c>
      <c r="Q18">
        <f t="shared" si="3"/>
        <v>213184</v>
      </c>
      <c r="R18">
        <v>0</v>
      </c>
      <c r="S18">
        <v>0</v>
      </c>
      <c r="T18">
        <f t="shared" si="4"/>
        <v>3486757</v>
      </c>
      <c r="U18">
        <f>U17+ROUND((U$21-U$16)/(A$21-A$16),0)</f>
        <v>182</v>
      </c>
      <c r="V18">
        <v>0</v>
      </c>
      <c r="W18">
        <v>0</v>
      </c>
      <c r="X18">
        <v>0</v>
      </c>
      <c r="Z18" t="b">
        <f t="shared" si="5"/>
        <v>1</v>
      </c>
      <c r="AB18">
        <v>0</v>
      </c>
      <c r="AC18">
        <f t="shared" si="19"/>
        <v>-215</v>
      </c>
      <c r="AD18">
        <f t="shared" si="6"/>
        <v>60460</v>
      </c>
      <c r="AE18">
        <v>0</v>
      </c>
      <c r="AF18">
        <v>0</v>
      </c>
      <c r="AG18">
        <f t="shared" si="7"/>
        <v>190883</v>
      </c>
      <c r="AH18">
        <f>U18-U17</f>
        <v>91</v>
      </c>
      <c r="AI18">
        <v>0</v>
      </c>
      <c r="AJ18">
        <f t="shared" si="8"/>
        <v>0</v>
      </c>
      <c r="AK18">
        <v>0</v>
      </c>
      <c r="AM18">
        <f t="shared" si="9"/>
        <v>14</v>
      </c>
      <c r="AN18">
        <f t="shared" si="10"/>
        <v>0</v>
      </c>
      <c r="AO18">
        <f t="shared" si="11"/>
        <v>19373</v>
      </c>
      <c r="AP18">
        <f t="shared" si="12"/>
        <v>0</v>
      </c>
      <c r="AQ18">
        <f t="shared" si="13"/>
        <v>0</v>
      </c>
      <c r="AR18">
        <f t="shared" si="14"/>
        <v>160594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X18">
        <v>213184</v>
      </c>
      <c r="AY18">
        <v>676</v>
      </c>
      <c r="AZ18">
        <v>334</v>
      </c>
      <c r="BA18">
        <v>3486757</v>
      </c>
      <c r="BB18">
        <v>3700951</v>
      </c>
    </row>
    <row r="19" spans="1:79" x14ac:dyDescent="0.2">
      <c r="A19" s="8">
        <v>2003</v>
      </c>
      <c r="O19">
        <f t="shared" si="1"/>
        <v>651</v>
      </c>
      <c r="P19">
        <f t="shared" si="2"/>
        <v>280</v>
      </c>
      <c r="Q19">
        <f t="shared" si="3"/>
        <v>261987</v>
      </c>
      <c r="R19">
        <v>0</v>
      </c>
      <c r="S19">
        <v>0</v>
      </c>
      <c r="T19">
        <f t="shared" si="4"/>
        <v>3490699</v>
      </c>
      <c r="U19">
        <f>U18+ROUND((U$21-U$16)/(A$21-A$16),0)</f>
        <v>273</v>
      </c>
      <c r="V19">
        <v>0</v>
      </c>
      <c r="W19">
        <v>0</v>
      </c>
      <c r="X19">
        <v>0</v>
      </c>
      <c r="Z19" t="b">
        <f t="shared" si="5"/>
        <v>1</v>
      </c>
      <c r="AB19">
        <v>0</v>
      </c>
      <c r="AC19">
        <f t="shared" si="19"/>
        <v>128</v>
      </c>
      <c r="AD19">
        <f t="shared" si="6"/>
        <v>65373</v>
      </c>
      <c r="AE19">
        <v>0</v>
      </c>
      <c r="AF19">
        <v>0</v>
      </c>
      <c r="AG19">
        <f t="shared" si="7"/>
        <v>190682</v>
      </c>
      <c r="AH19">
        <f>U19-U18</f>
        <v>91</v>
      </c>
      <c r="AI19">
        <v>0</v>
      </c>
      <c r="AJ19">
        <f t="shared" si="8"/>
        <v>0</v>
      </c>
      <c r="AK19">
        <v>0</v>
      </c>
      <c r="AM19">
        <f t="shared" si="9"/>
        <v>25</v>
      </c>
      <c r="AN19">
        <f t="shared" si="10"/>
        <v>0</v>
      </c>
      <c r="AO19">
        <f t="shared" si="11"/>
        <v>16570</v>
      </c>
      <c r="AP19">
        <f t="shared" si="12"/>
        <v>0</v>
      </c>
      <c r="AQ19">
        <f t="shared" si="13"/>
        <v>0</v>
      </c>
      <c r="AR19">
        <f t="shared" si="14"/>
        <v>186740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X19">
        <v>261987</v>
      </c>
      <c r="AY19">
        <v>651</v>
      </c>
      <c r="AZ19">
        <v>553</v>
      </c>
      <c r="BA19">
        <v>3490699</v>
      </c>
      <c r="BB19">
        <v>3753890</v>
      </c>
    </row>
    <row r="20" spans="1:79" x14ac:dyDescent="0.2">
      <c r="A20" s="8">
        <v>2004</v>
      </c>
      <c r="O20">
        <f t="shared" si="1"/>
        <v>625</v>
      </c>
      <c r="P20">
        <f t="shared" si="2"/>
        <v>0</v>
      </c>
      <c r="Q20">
        <f t="shared" si="3"/>
        <v>319905</v>
      </c>
      <c r="R20">
        <v>0</v>
      </c>
      <c r="S20">
        <v>0</v>
      </c>
      <c r="T20">
        <f t="shared" si="4"/>
        <v>3489925</v>
      </c>
      <c r="U20">
        <f>U19+ROUND((U$21-U$16)/(A$21-A$16),0)</f>
        <v>364</v>
      </c>
      <c r="V20">
        <v>0</v>
      </c>
      <c r="W20">
        <f>W21-581-74</f>
        <v>532</v>
      </c>
      <c r="X20">
        <v>0</v>
      </c>
      <c r="Z20" t="b">
        <f t="shared" si="5"/>
        <v>1</v>
      </c>
      <c r="AB20">
        <v>0</v>
      </c>
      <c r="AC20">
        <f t="shared" si="19"/>
        <v>-280</v>
      </c>
      <c r="AD20">
        <f>ROUND(_xlfn.FORECAST.LINEAR($A20,AD$21:AD$32,$A$21:$A$32),0)</f>
        <v>70286</v>
      </c>
      <c r="AE20">
        <v>0</v>
      </c>
      <c r="AF20">
        <v>0</v>
      </c>
      <c r="AG20">
        <f>ROUND(_xlfn.FORECAST.LINEAR($A20,AG$21:AG$32,$A$21:$A$32),0)</f>
        <v>190481</v>
      </c>
      <c r="AH20">
        <f>U20-U19</f>
        <v>91</v>
      </c>
      <c r="AI20">
        <v>0</v>
      </c>
      <c r="AJ20">
        <f t="shared" si="8"/>
        <v>532</v>
      </c>
      <c r="AK20">
        <v>0</v>
      </c>
      <c r="AM20">
        <f t="shared" si="9"/>
        <v>26</v>
      </c>
      <c r="AN20">
        <f t="shared" si="10"/>
        <v>0</v>
      </c>
      <c r="AO20">
        <f t="shared" si="11"/>
        <v>12368</v>
      </c>
      <c r="AP20">
        <f t="shared" si="12"/>
        <v>0</v>
      </c>
      <c r="AQ20">
        <f t="shared" si="13"/>
        <v>0</v>
      </c>
      <c r="AR20">
        <f t="shared" si="14"/>
        <v>191255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X20">
        <v>319905</v>
      </c>
      <c r="AY20">
        <v>625</v>
      </c>
      <c r="AZ20">
        <v>896</v>
      </c>
      <c r="BA20">
        <v>3489925</v>
      </c>
      <c r="BB20">
        <v>3811351</v>
      </c>
    </row>
    <row r="21" spans="1:79" x14ac:dyDescent="0.2">
      <c r="A21" s="2">
        <v>2005</v>
      </c>
      <c r="O21">
        <f t="shared" ref="O21:O37" si="20">BD21</f>
        <v>592</v>
      </c>
      <c r="P21">
        <f t="shared" ref="P21:P37" si="21">BE21</f>
        <v>3015</v>
      </c>
      <c r="Q21">
        <f t="shared" ref="Q21:Q37" si="22">BF21</f>
        <v>381189</v>
      </c>
      <c r="R21">
        <f t="shared" ref="R21:R37" si="23">BG21</f>
        <v>0</v>
      </c>
      <c r="S21">
        <f t="shared" ref="S21:S37" si="24">BH21</f>
        <v>0</v>
      </c>
      <c r="T21">
        <f t="shared" ref="T21:T37" si="25">BI21</f>
        <v>3475004</v>
      </c>
      <c r="U21">
        <f t="shared" ref="U21:U37" si="26">BJ21</f>
        <v>453</v>
      </c>
      <c r="V21">
        <f t="shared" ref="V21:V37" si="27">BK21</f>
        <v>0</v>
      </c>
      <c r="W21">
        <f t="shared" ref="W21:W37" si="28">BL21</f>
        <v>1187</v>
      </c>
      <c r="X21">
        <f t="shared" ref="X21:X37" si="29">BM21</f>
        <v>2</v>
      </c>
      <c r="Z21" t="b">
        <f t="shared" si="5"/>
        <v>1</v>
      </c>
      <c r="AB21">
        <f t="shared" ref="AB21:AB37" si="30">BR21</f>
        <v>13</v>
      </c>
      <c r="AC21">
        <f t="shared" si="19"/>
        <v>3015</v>
      </c>
      <c r="AD21">
        <f t="shared" ref="AD21:AI21" si="31">BT21</f>
        <v>74114</v>
      </c>
      <c r="AE21">
        <f t="shared" si="31"/>
        <v>0</v>
      </c>
      <c r="AF21">
        <f t="shared" si="31"/>
        <v>0</v>
      </c>
      <c r="AG21">
        <f t="shared" si="31"/>
        <v>185120</v>
      </c>
      <c r="AH21">
        <f t="shared" si="31"/>
        <v>604</v>
      </c>
      <c r="AI21">
        <f t="shared" si="31"/>
        <v>0</v>
      </c>
      <c r="AJ21">
        <f t="shared" si="8"/>
        <v>655</v>
      </c>
      <c r="AK21">
        <f>X21-X20</f>
        <v>2</v>
      </c>
      <c r="AM21">
        <f t="shared" si="9"/>
        <v>46</v>
      </c>
      <c r="AN21">
        <f t="shared" si="10"/>
        <v>0</v>
      </c>
      <c r="AO21">
        <f t="shared" si="11"/>
        <v>12830</v>
      </c>
      <c r="AP21">
        <f t="shared" si="12"/>
        <v>0</v>
      </c>
      <c r="AQ21">
        <f t="shared" si="13"/>
        <v>0</v>
      </c>
      <c r="AR21">
        <f t="shared" si="14"/>
        <v>200041</v>
      </c>
      <c r="AS21">
        <f t="shared" si="15"/>
        <v>515</v>
      </c>
      <c r="AT21">
        <f t="shared" si="16"/>
        <v>0</v>
      </c>
      <c r="AU21">
        <f t="shared" si="17"/>
        <v>0</v>
      </c>
      <c r="AV21">
        <f t="shared" si="18"/>
        <v>0</v>
      </c>
      <c r="AX21">
        <v>381189</v>
      </c>
      <c r="AY21">
        <v>592</v>
      </c>
      <c r="AZ21">
        <v>4657</v>
      </c>
      <c r="BA21">
        <v>3475004</v>
      </c>
      <c r="BB21">
        <v>3861442</v>
      </c>
      <c r="BD21">
        <v>592</v>
      </c>
      <c r="BE21">
        <v>3015</v>
      </c>
      <c r="BF21">
        <v>381189</v>
      </c>
      <c r="BG21">
        <v>0</v>
      </c>
      <c r="BH21">
        <v>0</v>
      </c>
      <c r="BI21">
        <v>3475004</v>
      </c>
      <c r="BJ21">
        <v>453</v>
      </c>
      <c r="BK21">
        <v>0</v>
      </c>
      <c r="BL21">
        <v>1187</v>
      </c>
      <c r="BM21">
        <v>2</v>
      </c>
      <c r="BN21">
        <f t="shared" ref="BN21:BN38" si="32">SUM(BD21:BM21)</f>
        <v>3861442</v>
      </c>
      <c r="BP21">
        <f t="shared" ref="BP21:BP38" si="33">SUM(BM21,BL21,BK21,BJ21,BH21,BG21,BE21)</f>
        <v>4657</v>
      </c>
      <c r="BR21">
        <v>13</v>
      </c>
      <c r="BS21">
        <v>389</v>
      </c>
      <c r="BT21">
        <v>74114</v>
      </c>
      <c r="BU21">
        <v>0</v>
      </c>
      <c r="BV21">
        <v>0</v>
      </c>
      <c r="BW21">
        <v>185120</v>
      </c>
      <c r="BX21">
        <v>604</v>
      </c>
      <c r="BY21">
        <v>0</v>
      </c>
      <c r="BZ21">
        <v>442</v>
      </c>
      <c r="CA21">
        <v>0</v>
      </c>
    </row>
    <row r="22" spans="1:79" x14ac:dyDescent="0.2">
      <c r="A22" s="2">
        <v>2006</v>
      </c>
      <c r="O22">
        <f t="shared" si="20"/>
        <v>562</v>
      </c>
      <c r="P22">
        <f t="shared" si="21"/>
        <v>2246</v>
      </c>
      <c r="Q22">
        <f t="shared" si="22"/>
        <v>450992</v>
      </c>
      <c r="R22">
        <f t="shared" si="23"/>
        <v>4</v>
      </c>
      <c r="S22">
        <f t="shared" si="24"/>
        <v>0</v>
      </c>
      <c r="T22">
        <f t="shared" si="25"/>
        <v>3442302</v>
      </c>
      <c r="U22">
        <f t="shared" si="26"/>
        <v>1899</v>
      </c>
      <c r="V22">
        <f t="shared" si="27"/>
        <v>0</v>
      </c>
      <c r="W22">
        <f t="shared" si="28"/>
        <v>2009</v>
      </c>
      <c r="X22">
        <f t="shared" si="29"/>
        <v>0</v>
      </c>
      <c r="Z22" t="b">
        <f t="shared" si="5"/>
        <v>1</v>
      </c>
      <c r="AB22">
        <f t="shared" si="30"/>
        <v>9</v>
      </c>
      <c r="AC22">
        <f>BS22</f>
        <v>441</v>
      </c>
      <c r="AD22">
        <f>BT22</f>
        <v>80857</v>
      </c>
      <c r="AE22">
        <f>R22-R21</f>
        <v>4</v>
      </c>
      <c r="AF22">
        <f t="shared" ref="AF22:AK23" si="34">BV22</f>
        <v>0</v>
      </c>
      <c r="AG22">
        <f t="shared" si="34"/>
        <v>185807</v>
      </c>
      <c r="AH22">
        <f t="shared" si="34"/>
        <v>1569</v>
      </c>
      <c r="AI22">
        <f t="shared" si="34"/>
        <v>0</v>
      </c>
      <c r="AJ22">
        <f t="shared" si="34"/>
        <v>1064</v>
      </c>
      <c r="AK22">
        <f t="shared" si="34"/>
        <v>0</v>
      </c>
      <c r="AM22">
        <f t="shared" si="9"/>
        <v>39</v>
      </c>
      <c r="AN22">
        <f t="shared" si="10"/>
        <v>1210</v>
      </c>
      <c r="AO22">
        <f t="shared" si="11"/>
        <v>11054</v>
      </c>
      <c r="AP22">
        <f t="shared" si="12"/>
        <v>0</v>
      </c>
      <c r="AQ22">
        <f t="shared" si="13"/>
        <v>0</v>
      </c>
      <c r="AR22">
        <f t="shared" si="14"/>
        <v>218509</v>
      </c>
      <c r="AS22">
        <f t="shared" si="15"/>
        <v>123</v>
      </c>
      <c r="AT22">
        <f t="shared" si="16"/>
        <v>0</v>
      </c>
      <c r="AU22">
        <f t="shared" si="17"/>
        <v>242</v>
      </c>
      <c r="AV22">
        <f t="shared" si="18"/>
        <v>2</v>
      </c>
      <c r="AX22">
        <v>450992</v>
      </c>
      <c r="AY22">
        <v>562</v>
      </c>
      <c r="AZ22">
        <v>6158</v>
      </c>
      <c r="BA22">
        <v>3442302</v>
      </c>
      <c r="BB22">
        <v>3900014</v>
      </c>
      <c r="BD22">
        <v>562</v>
      </c>
      <c r="BE22">
        <v>2246</v>
      </c>
      <c r="BF22">
        <v>450992</v>
      </c>
      <c r="BG22">
        <v>4</v>
      </c>
      <c r="BH22">
        <v>0</v>
      </c>
      <c r="BI22">
        <v>3442302</v>
      </c>
      <c r="BJ22">
        <v>1899</v>
      </c>
      <c r="BK22">
        <v>0</v>
      </c>
      <c r="BL22">
        <v>2009</v>
      </c>
      <c r="BM22">
        <v>0</v>
      </c>
      <c r="BN22">
        <f t="shared" si="32"/>
        <v>3900014</v>
      </c>
      <c r="BP22">
        <f t="shared" si="33"/>
        <v>6158</v>
      </c>
      <c r="BR22">
        <v>9</v>
      </c>
      <c r="BS22">
        <v>441</v>
      </c>
      <c r="BT22">
        <v>80857</v>
      </c>
      <c r="BU22">
        <v>1</v>
      </c>
      <c r="BV22">
        <v>0</v>
      </c>
      <c r="BW22">
        <v>185807</v>
      </c>
      <c r="BX22">
        <v>1569</v>
      </c>
      <c r="BY22">
        <v>0</v>
      </c>
      <c r="BZ22">
        <v>1064</v>
      </c>
      <c r="CA22">
        <v>0</v>
      </c>
    </row>
    <row r="23" spans="1:79" x14ac:dyDescent="0.2">
      <c r="A23" s="2">
        <v>2007</v>
      </c>
      <c r="O23">
        <f t="shared" si="20"/>
        <v>528</v>
      </c>
      <c r="P23">
        <f t="shared" si="21"/>
        <v>4129</v>
      </c>
      <c r="Q23">
        <f t="shared" si="22"/>
        <v>524614</v>
      </c>
      <c r="R23">
        <f t="shared" si="23"/>
        <v>3</v>
      </c>
      <c r="S23">
        <f t="shared" si="24"/>
        <v>0</v>
      </c>
      <c r="T23">
        <f t="shared" si="25"/>
        <v>3418081</v>
      </c>
      <c r="U23">
        <f t="shared" si="26"/>
        <v>4889</v>
      </c>
      <c r="V23">
        <f t="shared" si="27"/>
        <v>0</v>
      </c>
      <c r="W23">
        <f t="shared" si="28"/>
        <v>3543</v>
      </c>
      <c r="X23">
        <f t="shared" si="29"/>
        <v>0</v>
      </c>
      <c r="Z23" t="b">
        <f t="shared" si="5"/>
        <v>1</v>
      </c>
      <c r="AB23">
        <f t="shared" si="30"/>
        <v>19</v>
      </c>
      <c r="AC23">
        <f>P23-P22</f>
        <v>1883</v>
      </c>
      <c r="AD23">
        <f>BT23</f>
        <v>92333</v>
      </c>
      <c r="AE23">
        <f>BU23</f>
        <v>0</v>
      </c>
      <c r="AF23">
        <f t="shared" si="34"/>
        <v>0</v>
      </c>
      <c r="AG23">
        <f t="shared" si="34"/>
        <v>185055</v>
      </c>
      <c r="AH23">
        <f t="shared" si="34"/>
        <v>3219</v>
      </c>
      <c r="AI23">
        <f t="shared" si="34"/>
        <v>1</v>
      </c>
      <c r="AJ23">
        <f t="shared" si="34"/>
        <v>1653</v>
      </c>
      <c r="AK23">
        <f t="shared" si="34"/>
        <v>0</v>
      </c>
      <c r="AM23">
        <f t="shared" si="9"/>
        <v>53</v>
      </c>
      <c r="AN23">
        <f t="shared" si="10"/>
        <v>0</v>
      </c>
      <c r="AO23">
        <f t="shared" si="11"/>
        <v>18711</v>
      </c>
      <c r="AP23">
        <f t="shared" si="12"/>
        <v>1</v>
      </c>
      <c r="AQ23">
        <f t="shared" si="13"/>
        <v>0</v>
      </c>
      <c r="AR23">
        <f t="shared" si="14"/>
        <v>209276</v>
      </c>
      <c r="AS23">
        <f t="shared" si="15"/>
        <v>229</v>
      </c>
      <c r="AT23">
        <f t="shared" si="16"/>
        <v>1</v>
      </c>
      <c r="AU23">
        <f t="shared" si="17"/>
        <v>119</v>
      </c>
      <c r="AV23">
        <f t="shared" si="18"/>
        <v>0</v>
      </c>
      <c r="AX23">
        <v>524614</v>
      </c>
      <c r="AY23">
        <v>528</v>
      </c>
      <c r="AZ23">
        <v>12564</v>
      </c>
      <c r="BA23">
        <v>3418081</v>
      </c>
      <c r="BB23">
        <v>3955787</v>
      </c>
      <c r="BD23">
        <v>528</v>
      </c>
      <c r="BE23">
        <v>4129</v>
      </c>
      <c r="BF23">
        <v>524614</v>
      </c>
      <c r="BG23">
        <v>3</v>
      </c>
      <c r="BH23">
        <v>0</v>
      </c>
      <c r="BI23">
        <v>3418081</v>
      </c>
      <c r="BJ23">
        <v>4889</v>
      </c>
      <c r="BK23">
        <v>0</v>
      </c>
      <c r="BL23">
        <v>3543</v>
      </c>
      <c r="BM23">
        <v>0</v>
      </c>
      <c r="BN23">
        <f t="shared" si="32"/>
        <v>3955787</v>
      </c>
      <c r="BP23">
        <f t="shared" si="33"/>
        <v>12564</v>
      </c>
      <c r="BR23">
        <v>19</v>
      </c>
      <c r="BS23">
        <v>1692</v>
      </c>
      <c r="BT23">
        <v>92333</v>
      </c>
      <c r="BU23">
        <v>0</v>
      </c>
      <c r="BV23">
        <v>0</v>
      </c>
      <c r="BW23">
        <v>185055</v>
      </c>
      <c r="BX23">
        <v>3219</v>
      </c>
      <c r="BY23">
        <v>1</v>
      </c>
      <c r="BZ23">
        <v>1653</v>
      </c>
      <c r="CA23">
        <v>0</v>
      </c>
    </row>
    <row r="24" spans="1:79" x14ac:dyDescent="0.2">
      <c r="A24" s="2">
        <v>2008</v>
      </c>
      <c r="O24">
        <f t="shared" si="20"/>
        <v>517</v>
      </c>
      <c r="P24">
        <f t="shared" si="21"/>
        <v>7547</v>
      </c>
      <c r="Q24">
        <f t="shared" si="22"/>
        <v>596480</v>
      </c>
      <c r="R24">
        <f t="shared" si="23"/>
        <v>3</v>
      </c>
      <c r="S24">
        <f t="shared" si="24"/>
        <v>0</v>
      </c>
      <c r="T24">
        <f t="shared" si="25"/>
        <v>3370326</v>
      </c>
      <c r="U24">
        <f t="shared" si="26"/>
        <v>10097</v>
      </c>
      <c r="V24">
        <f t="shared" si="27"/>
        <v>0</v>
      </c>
      <c r="W24">
        <f t="shared" si="28"/>
        <v>4839</v>
      </c>
      <c r="X24">
        <f t="shared" si="29"/>
        <v>2</v>
      </c>
      <c r="Z24" t="b">
        <f t="shared" si="5"/>
        <v>1</v>
      </c>
      <c r="AB24">
        <f t="shared" si="30"/>
        <v>24</v>
      </c>
      <c r="AC24">
        <f>P24-P23</f>
        <v>3418</v>
      </c>
      <c r="AD24">
        <f>BT24</f>
        <v>93366</v>
      </c>
      <c r="AE24">
        <f>BU24</f>
        <v>0</v>
      </c>
      <c r="AF24">
        <f t="shared" ref="AF24:AG31" si="35">BV24</f>
        <v>1</v>
      </c>
      <c r="AG24">
        <f t="shared" si="35"/>
        <v>189151</v>
      </c>
      <c r="AH24">
        <f>U24-U23</f>
        <v>5208</v>
      </c>
      <c r="AI24">
        <f t="shared" ref="AI24:AI37" si="36">BY24</f>
        <v>28</v>
      </c>
      <c r="AJ24">
        <f>W24-W23</f>
        <v>1296</v>
      </c>
      <c r="AK24">
        <f>X24-X23</f>
        <v>2</v>
      </c>
      <c r="AM24">
        <f t="shared" si="9"/>
        <v>35</v>
      </c>
      <c r="AN24">
        <f t="shared" si="10"/>
        <v>0</v>
      </c>
      <c r="AO24">
        <f t="shared" si="11"/>
        <v>21500</v>
      </c>
      <c r="AP24">
        <f t="shared" si="12"/>
        <v>0</v>
      </c>
      <c r="AQ24">
        <f t="shared" si="13"/>
        <v>1</v>
      </c>
      <c r="AR24">
        <f t="shared" si="14"/>
        <v>236906</v>
      </c>
      <c r="AS24">
        <f t="shared" si="15"/>
        <v>0</v>
      </c>
      <c r="AT24">
        <f t="shared" si="16"/>
        <v>28</v>
      </c>
      <c r="AU24">
        <f t="shared" si="17"/>
        <v>0</v>
      </c>
      <c r="AV24">
        <f t="shared" si="18"/>
        <v>0</v>
      </c>
      <c r="AX24">
        <v>596480</v>
      </c>
      <c r="AY24">
        <v>517</v>
      </c>
      <c r="AZ24">
        <v>22488</v>
      </c>
      <c r="BA24">
        <v>3370326</v>
      </c>
      <c r="BB24">
        <v>3989811</v>
      </c>
      <c r="BD24">
        <v>517</v>
      </c>
      <c r="BE24">
        <v>7547</v>
      </c>
      <c r="BF24">
        <v>596480</v>
      </c>
      <c r="BG24">
        <v>3</v>
      </c>
      <c r="BH24">
        <v>0</v>
      </c>
      <c r="BI24">
        <v>3370326</v>
      </c>
      <c r="BJ24">
        <v>10097</v>
      </c>
      <c r="BK24">
        <v>0</v>
      </c>
      <c r="BL24">
        <v>4839</v>
      </c>
      <c r="BM24">
        <v>2</v>
      </c>
      <c r="BN24">
        <f t="shared" si="32"/>
        <v>3989811</v>
      </c>
      <c r="BP24">
        <f t="shared" si="33"/>
        <v>22488</v>
      </c>
      <c r="BR24">
        <v>24</v>
      </c>
      <c r="BS24">
        <v>1201</v>
      </c>
      <c r="BT24">
        <v>93366</v>
      </c>
      <c r="BU24">
        <v>0</v>
      </c>
      <c r="BV24">
        <v>1</v>
      </c>
      <c r="BW24">
        <v>189151</v>
      </c>
      <c r="BX24">
        <v>3064</v>
      </c>
      <c r="BY24">
        <v>28</v>
      </c>
      <c r="BZ24">
        <v>1136</v>
      </c>
      <c r="CA24">
        <v>0</v>
      </c>
    </row>
    <row r="25" spans="1:79" x14ac:dyDescent="0.2">
      <c r="A25" s="2">
        <v>2009</v>
      </c>
      <c r="O25">
        <f t="shared" si="20"/>
        <v>512</v>
      </c>
      <c r="P25">
        <f t="shared" si="21"/>
        <v>3132</v>
      </c>
      <c r="Q25">
        <f t="shared" si="22"/>
        <v>666089</v>
      </c>
      <c r="R25">
        <f t="shared" si="23"/>
        <v>10</v>
      </c>
      <c r="S25">
        <f t="shared" si="24"/>
        <v>0</v>
      </c>
      <c r="T25">
        <f t="shared" si="25"/>
        <v>3320810</v>
      </c>
      <c r="U25">
        <f t="shared" si="26"/>
        <v>13121</v>
      </c>
      <c r="V25">
        <f t="shared" si="27"/>
        <v>0</v>
      </c>
      <c r="W25">
        <f t="shared" si="28"/>
        <v>5926</v>
      </c>
      <c r="X25">
        <f t="shared" si="29"/>
        <v>2</v>
      </c>
      <c r="Z25" t="b">
        <f t="shared" si="5"/>
        <v>1</v>
      </c>
      <c r="AB25">
        <f t="shared" si="30"/>
        <v>57</v>
      </c>
      <c r="AC25">
        <f>BS25</f>
        <v>529</v>
      </c>
      <c r="AD25">
        <f>BT25</f>
        <v>78755</v>
      </c>
      <c r="AE25">
        <f>R25-R24</f>
        <v>7</v>
      </c>
      <c r="AF25">
        <f t="shared" si="35"/>
        <v>1</v>
      </c>
      <c r="AG25">
        <f t="shared" si="35"/>
        <v>182174</v>
      </c>
      <c r="AH25">
        <f t="shared" ref="AH25:AH37" si="37">BX25</f>
        <v>3875</v>
      </c>
      <c r="AI25">
        <f t="shared" si="36"/>
        <v>24</v>
      </c>
      <c r="AJ25">
        <f>W25-W24</f>
        <v>1087</v>
      </c>
      <c r="AK25">
        <f>CA25</f>
        <v>0</v>
      </c>
      <c r="AM25">
        <f t="shared" si="9"/>
        <v>62</v>
      </c>
      <c r="AN25">
        <f t="shared" si="10"/>
        <v>4944</v>
      </c>
      <c r="AO25">
        <f t="shared" si="11"/>
        <v>9146</v>
      </c>
      <c r="AP25">
        <f t="shared" si="12"/>
        <v>0</v>
      </c>
      <c r="AQ25">
        <f t="shared" si="13"/>
        <v>1</v>
      </c>
      <c r="AR25">
        <f t="shared" si="14"/>
        <v>231690</v>
      </c>
      <c r="AS25">
        <f t="shared" si="15"/>
        <v>851</v>
      </c>
      <c r="AT25">
        <f t="shared" si="16"/>
        <v>24</v>
      </c>
      <c r="AU25">
        <f t="shared" si="17"/>
        <v>0</v>
      </c>
      <c r="AV25">
        <f t="shared" si="18"/>
        <v>0</v>
      </c>
      <c r="AX25">
        <v>666089</v>
      </c>
      <c r="AY25">
        <v>512</v>
      </c>
      <c r="AZ25">
        <v>22191</v>
      </c>
      <c r="BA25">
        <v>3320810</v>
      </c>
      <c r="BB25">
        <v>4009602</v>
      </c>
      <c r="BD25">
        <v>512</v>
      </c>
      <c r="BE25">
        <v>3132</v>
      </c>
      <c r="BF25">
        <v>666089</v>
      </c>
      <c r="BG25">
        <v>10</v>
      </c>
      <c r="BH25">
        <v>0</v>
      </c>
      <c r="BI25">
        <v>3320810</v>
      </c>
      <c r="BJ25">
        <v>13121</v>
      </c>
      <c r="BK25">
        <v>0</v>
      </c>
      <c r="BL25">
        <v>5926</v>
      </c>
      <c r="BM25">
        <v>2</v>
      </c>
      <c r="BN25">
        <f t="shared" si="32"/>
        <v>4009602</v>
      </c>
      <c r="BP25">
        <f t="shared" si="33"/>
        <v>22191</v>
      </c>
      <c r="BR25">
        <v>57</v>
      </c>
      <c r="BS25">
        <v>529</v>
      </c>
      <c r="BT25">
        <v>78755</v>
      </c>
      <c r="BU25">
        <v>0</v>
      </c>
      <c r="BV25">
        <v>1</v>
      </c>
      <c r="BW25">
        <v>182174</v>
      </c>
      <c r="BX25">
        <v>3875</v>
      </c>
      <c r="BY25">
        <v>24</v>
      </c>
      <c r="BZ25">
        <v>1063</v>
      </c>
      <c r="CA25">
        <v>0</v>
      </c>
    </row>
    <row r="26" spans="1:79" x14ac:dyDescent="0.2">
      <c r="A26" s="2">
        <v>2010</v>
      </c>
      <c r="O26">
        <f t="shared" si="20"/>
        <v>665</v>
      </c>
      <c r="P26">
        <f t="shared" si="21"/>
        <v>3604</v>
      </c>
      <c r="Q26">
        <f t="shared" si="22"/>
        <v>739112</v>
      </c>
      <c r="R26">
        <f t="shared" si="23"/>
        <v>17</v>
      </c>
      <c r="S26">
        <f t="shared" si="24"/>
        <v>0</v>
      </c>
      <c r="T26">
        <f t="shared" si="25"/>
        <v>3308634</v>
      </c>
      <c r="U26">
        <f t="shared" si="26"/>
        <v>17138</v>
      </c>
      <c r="V26">
        <f t="shared" si="27"/>
        <v>1</v>
      </c>
      <c r="W26">
        <f t="shared" si="28"/>
        <v>6652</v>
      </c>
      <c r="X26">
        <f t="shared" si="29"/>
        <v>2</v>
      </c>
      <c r="Z26" t="b">
        <f t="shared" si="5"/>
        <v>1</v>
      </c>
      <c r="AB26">
        <f t="shared" si="30"/>
        <v>201</v>
      </c>
      <c r="AC26">
        <f>P26-P25</f>
        <v>472</v>
      </c>
      <c r="AD26">
        <f t="shared" ref="AD26:AD37" si="38">BT26</f>
        <v>90547</v>
      </c>
      <c r="AE26">
        <f>R26-R25</f>
        <v>7</v>
      </c>
      <c r="AF26">
        <f t="shared" si="35"/>
        <v>0</v>
      </c>
      <c r="AG26">
        <f t="shared" si="35"/>
        <v>200576</v>
      </c>
      <c r="AH26">
        <f t="shared" si="37"/>
        <v>4213</v>
      </c>
      <c r="AI26">
        <f t="shared" si="36"/>
        <v>33</v>
      </c>
      <c r="AJ26">
        <f>W26-W25</f>
        <v>726</v>
      </c>
      <c r="AK26">
        <f>CA26</f>
        <v>0</v>
      </c>
      <c r="AM26">
        <f t="shared" si="9"/>
        <v>48</v>
      </c>
      <c r="AN26">
        <f t="shared" si="10"/>
        <v>0</v>
      </c>
      <c r="AO26">
        <f t="shared" si="11"/>
        <v>17524</v>
      </c>
      <c r="AP26">
        <f t="shared" si="12"/>
        <v>0</v>
      </c>
      <c r="AQ26">
        <f t="shared" si="13"/>
        <v>0</v>
      </c>
      <c r="AR26">
        <f t="shared" si="14"/>
        <v>212752</v>
      </c>
      <c r="AS26">
        <f t="shared" si="15"/>
        <v>196</v>
      </c>
      <c r="AT26">
        <f t="shared" si="16"/>
        <v>32</v>
      </c>
      <c r="AU26">
        <f t="shared" si="17"/>
        <v>0</v>
      </c>
      <c r="AV26">
        <f t="shared" si="18"/>
        <v>0</v>
      </c>
      <c r="AX26">
        <v>739112</v>
      </c>
      <c r="AY26">
        <v>665</v>
      </c>
      <c r="AZ26">
        <v>27414</v>
      </c>
      <c r="BA26">
        <v>3308634</v>
      </c>
      <c r="BB26">
        <v>4075825</v>
      </c>
      <c r="BD26">
        <v>665</v>
      </c>
      <c r="BE26">
        <v>3604</v>
      </c>
      <c r="BF26">
        <v>739112</v>
      </c>
      <c r="BG26">
        <v>17</v>
      </c>
      <c r="BH26">
        <v>0</v>
      </c>
      <c r="BI26">
        <v>3308634</v>
      </c>
      <c r="BJ26">
        <v>17138</v>
      </c>
      <c r="BK26">
        <v>1</v>
      </c>
      <c r="BL26">
        <v>6652</v>
      </c>
      <c r="BM26">
        <v>2</v>
      </c>
      <c r="BN26">
        <f t="shared" si="32"/>
        <v>4075825</v>
      </c>
      <c r="BP26">
        <f t="shared" si="33"/>
        <v>27414</v>
      </c>
      <c r="BR26">
        <v>201</v>
      </c>
      <c r="BS26">
        <v>302</v>
      </c>
      <c r="BT26">
        <v>90547</v>
      </c>
      <c r="BU26">
        <v>4</v>
      </c>
      <c r="BV26">
        <v>0</v>
      </c>
      <c r="BW26">
        <v>200576</v>
      </c>
      <c r="BX26">
        <v>4213</v>
      </c>
      <c r="BY26">
        <v>33</v>
      </c>
      <c r="BZ26">
        <v>721</v>
      </c>
      <c r="CA26">
        <v>0</v>
      </c>
    </row>
    <row r="27" spans="1:79" x14ac:dyDescent="0.2">
      <c r="A27" s="2">
        <v>2011</v>
      </c>
      <c r="O27">
        <f t="shared" si="20"/>
        <v>1044</v>
      </c>
      <c r="P27">
        <f t="shared" si="21"/>
        <v>3982</v>
      </c>
      <c r="Q27">
        <f t="shared" si="22"/>
        <v>827094</v>
      </c>
      <c r="R27">
        <f t="shared" si="23"/>
        <v>31</v>
      </c>
      <c r="S27">
        <f t="shared" si="24"/>
        <v>0</v>
      </c>
      <c r="T27">
        <f t="shared" si="25"/>
        <v>3301501</v>
      </c>
      <c r="U27">
        <f t="shared" si="26"/>
        <v>21998</v>
      </c>
      <c r="V27">
        <f t="shared" si="27"/>
        <v>3</v>
      </c>
      <c r="W27">
        <f t="shared" si="28"/>
        <v>7349</v>
      </c>
      <c r="X27">
        <f t="shared" si="29"/>
        <v>1</v>
      </c>
      <c r="Z27" t="b">
        <f t="shared" si="5"/>
        <v>1</v>
      </c>
      <c r="AB27">
        <f t="shared" si="30"/>
        <v>452</v>
      </c>
      <c r="AC27">
        <f>BS27</f>
        <v>526</v>
      </c>
      <c r="AD27">
        <f t="shared" si="38"/>
        <v>109324</v>
      </c>
      <c r="AE27">
        <f>BU27</f>
        <v>17</v>
      </c>
      <c r="AF27">
        <f t="shared" si="35"/>
        <v>1</v>
      </c>
      <c r="AG27">
        <f t="shared" si="35"/>
        <v>211540</v>
      </c>
      <c r="AH27">
        <f t="shared" si="37"/>
        <v>5325</v>
      </c>
      <c r="AI27">
        <f t="shared" si="36"/>
        <v>119</v>
      </c>
      <c r="AJ27">
        <f>W27-W26</f>
        <v>697</v>
      </c>
      <c r="AK27">
        <f>CA27</f>
        <v>0</v>
      </c>
      <c r="AM27">
        <f t="shared" si="9"/>
        <v>73</v>
      </c>
      <c r="AN27">
        <f t="shared" si="10"/>
        <v>148</v>
      </c>
      <c r="AO27">
        <f t="shared" si="11"/>
        <v>21342</v>
      </c>
      <c r="AP27">
        <f t="shared" si="12"/>
        <v>3</v>
      </c>
      <c r="AQ27">
        <f t="shared" si="13"/>
        <v>1</v>
      </c>
      <c r="AR27">
        <f t="shared" si="14"/>
        <v>218673</v>
      </c>
      <c r="AS27">
        <f t="shared" si="15"/>
        <v>465</v>
      </c>
      <c r="AT27">
        <f t="shared" si="16"/>
        <v>117</v>
      </c>
      <c r="AU27">
        <f t="shared" si="17"/>
        <v>0</v>
      </c>
      <c r="AV27">
        <f t="shared" si="18"/>
        <v>1</v>
      </c>
      <c r="AX27">
        <v>827094</v>
      </c>
      <c r="AY27">
        <v>1044</v>
      </c>
      <c r="AZ27">
        <v>33364</v>
      </c>
      <c r="BA27">
        <v>3301501</v>
      </c>
      <c r="BB27">
        <v>4163003</v>
      </c>
      <c r="BD27">
        <v>1044</v>
      </c>
      <c r="BE27">
        <v>3982</v>
      </c>
      <c r="BF27">
        <v>827094</v>
      </c>
      <c r="BG27">
        <v>31</v>
      </c>
      <c r="BH27">
        <v>0</v>
      </c>
      <c r="BI27">
        <v>3301501</v>
      </c>
      <c r="BJ27">
        <v>21998</v>
      </c>
      <c r="BK27">
        <v>3</v>
      </c>
      <c r="BL27">
        <v>7349</v>
      </c>
      <c r="BM27">
        <v>1</v>
      </c>
      <c r="BN27">
        <f t="shared" si="32"/>
        <v>4163003</v>
      </c>
      <c r="BP27">
        <f t="shared" si="33"/>
        <v>33364</v>
      </c>
      <c r="BR27">
        <v>452</v>
      </c>
      <c r="BS27">
        <v>526</v>
      </c>
      <c r="BT27">
        <v>109324</v>
      </c>
      <c r="BU27">
        <v>17</v>
      </c>
      <c r="BV27">
        <v>1</v>
      </c>
      <c r="BW27">
        <v>211540</v>
      </c>
      <c r="BX27">
        <v>5325</v>
      </c>
      <c r="BY27">
        <v>119</v>
      </c>
      <c r="BZ27">
        <v>651</v>
      </c>
      <c r="CA27">
        <v>0</v>
      </c>
    </row>
    <row r="28" spans="1:79" x14ac:dyDescent="0.2">
      <c r="A28" s="2">
        <v>2012</v>
      </c>
      <c r="O28">
        <f t="shared" si="20"/>
        <v>1758</v>
      </c>
      <c r="P28">
        <f t="shared" si="21"/>
        <v>4374</v>
      </c>
      <c r="Q28">
        <f t="shared" si="22"/>
        <v>934084</v>
      </c>
      <c r="R28">
        <f t="shared" si="23"/>
        <v>769</v>
      </c>
      <c r="S28">
        <f t="shared" si="24"/>
        <v>0</v>
      </c>
      <c r="T28">
        <f t="shared" si="25"/>
        <v>3278675</v>
      </c>
      <c r="U28">
        <f t="shared" si="26"/>
        <v>27290</v>
      </c>
      <c r="V28">
        <f t="shared" si="27"/>
        <v>31</v>
      </c>
      <c r="W28">
        <f t="shared" si="28"/>
        <v>7742</v>
      </c>
      <c r="X28">
        <f t="shared" si="29"/>
        <v>2</v>
      </c>
      <c r="Z28" t="b">
        <f t="shared" si="5"/>
        <v>1</v>
      </c>
      <c r="AB28">
        <f t="shared" si="30"/>
        <v>924</v>
      </c>
      <c r="AC28">
        <f>BS28</f>
        <v>406</v>
      </c>
      <c r="AD28">
        <f t="shared" si="38"/>
        <v>124911</v>
      </c>
      <c r="AE28">
        <f>BU28</f>
        <v>956</v>
      </c>
      <c r="AF28">
        <f t="shared" si="35"/>
        <v>31</v>
      </c>
      <c r="AG28">
        <f t="shared" si="35"/>
        <v>200576</v>
      </c>
      <c r="AH28">
        <f t="shared" si="37"/>
        <v>5530</v>
      </c>
      <c r="AI28">
        <f t="shared" si="36"/>
        <v>191</v>
      </c>
      <c r="AJ28">
        <f t="shared" ref="AJ28:AJ37" si="39">BZ28</f>
        <v>519</v>
      </c>
      <c r="AK28">
        <f>CA28</f>
        <v>1</v>
      </c>
      <c r="AM28">
        <f t="shared" si="9"/>
        <v>210</v>
      </c>
      <c r="AN28">
        <f t="shared" si="10"/>
        <v>14</v>
      </c>
      <c r="AO28">
        <f t="shared" si="11"/>
        <v>17921</v>
      </c>
      <c r="AP28">
        <f t="shared" si="12"/>
        <v>218</v>
      </c>
      <c r="AQ28">
        <f t="shared" si="13"/>
        <v>31</v>
      </c>
      <c r="AR28">
        <f t="shared" si="14"/>
        <v>223402</v>
      </c>
      <c r="AS28">
        <f t="shared" si="15"/>
        <v>238</v>
      </c>
      <c r="AT28">
        <f t="shared" si="16"/>
        <v>163</v>
      </c>
      <c r="AU28">
        <f t="shared" si="17"/>
        <v>126</v>
      </c>
      <c r="AV28">
        <f t="shared" si="18"/>
        <v>0</v>
      </c>
      <c r="AX28">
        <v>934084</v>
      </c>
      <c r="AY28">
        <v>1758</v>
      </c>
      <c r="AZ28">
        <v>40208</v>
      </c>
      <c r="BA28">
        <v>3278675</v>
      </c>
      <c r="BB28">
        <v>4254725</v>
      </c>
      <c r="BD28">
        <v>1758</v>
      </c>
      <c r="BE28">
        <v>4374</v>
      </c>
      <c r="BF28">
        <v>934084</v>
      </c>
      <c r="BG28">
        <v>769</v>
      </c>
      <c r="BH28">
        <v>0</v>
      </c>
      <c r="BI28">
        <v>3278675</v>
      </c>
      <c r="BJ28">
        <v>27290</v>
      </c>
      <c r="BK28">
        <v>31</v>
      </c>
      <c r="BL28">
        <v>7742</v>
      </c>
      <c r="BM28">
        <v>2</v>
      </c>
      <c r="BN28">
        <f t="shared" si="32"/>
        <v>4254725</v>
      </c>
      <c r="BP28">
        <f t="shared" si="33"/>
        <v>40208</v>
      </c>
      <c r="BR28">
        <v>924</v>
      </c>
      <c r="BS28">
        <v>406</v>
      </c>
      <c r="BT28">
        <v>124911</v>
      </c>
      <c r="BU28">
        <v>956</v>
      </c>
      <c r="BV28">
        <v>31</v>
      </c>
      <c r="BW28">
        <v>200576</v>
      </c>
      <c r="BX28">
        <v>5530</v>
      </c>
      <c r="BY28">
        <v>191</v>
      </c>
      <c r="BZ28">
        <v>519</v>
      </c>
      <c r="CA28">
        <v>1</v>
      </c>
    </row>
    <row r="29" spans="1:79" x14ac:dyDescent="0.2">
      <c r="A29" s="2">
        <v>2013</v>
      </c>
      <c r="O29">
        <f t="shared" si="20"/>
        <v>2683</v>
      </c>
      <c r="P29">
        <f t="shared" si="21"/>
        <v>4503</v>
      </c>
      <c r="Q29">
        <f t="shared" si="22"/>
        <v>1035843</v>
      </c>
      <c r="R29">
        <f t="shared" si="23"/>
        <v>1554</v>
      </c>
      <c r="S29">
        <f t="shared" si="24"/>
        <v>120</v>
      </c>
      <c r="T29">
        <f t="shared" si="25"/>
        <v>3234560</v>
      </c>
      <c r="U29">
        <f t="shared" si="26"/>
        <v>33056</v>
      </c>
      <c r="V29">
        <f t="shared" si="27"/>
        <v>104</v>
      </c>
      <c r="W29">
        <f t="shared" si="28"/>
        <v>8457</v>
      </c>
      <c r="X29">
        <f t="shared" si="29"/>
        <v>5</v>
      </c>
      <c r="Z29" t="b">
        <f t="shared" si="5"/>
        <v>1</v>
      </c>
      <c r="AB29">
        <f t="shared" si="30"/>
        <v>1392</v>
      </c>
      <c r="AC29">
        <f>P29-P28</f>
        <v>129</v>
      </c>
      <c r="AD29">
        <f t="shared" si="38"/>
        <v>115656</v>
      </c>
      <c r="AE29">
        <f>R29-R28</f>
        <v>785</v>
      </c>
      <c r="AF29">
        <f t="shared" si="35"/>
        <v>281</v>
      </c>
      <c r="AG29">
        <f t="shared" si="35"/>
        <v>185070</v>
      </c>
      <c r="AH29">
        <f t="shared" si="37"/>
        <v>5966</v>
      </c>
      <c r="AI29">
        <f t="shared" si="36"/>
        <v>227</v>
      </c>
      <c r="AJ29">
        <f t="shared" si="39"/>
        <v>791</v>
      </c>
      <c r="AK29">
        <f>X29-X28</f>
        <v>3</v>
      </c>
      <c r="AM29">
        <f t="shared" si="9"/>
        <v>467</v>
      </c>
      <c r="AN29">
        <f t="shared" si="10"/>
        <v>0</v>
      </c>
      <c r="AO29">
        <f t="shared" si="11"/>
        <v>13897</v>
      </c>
      <c r="AP29">
        <f t="shared" si="12"/>
        <v>0</v>
      </c>
      <c r="AQ29">
        <f t="shared" si="13"/>
        <v>161</v>
      </c>
      <c r="AR29">
        <f t="shared" si="14"/>
        <v>229185</v>
      </c>
      <c r="AS29">
        <f t="shared" si="15"/>
        <v>200</v>
      </c>
      <c r="AT29">
        <f t="shared" si="16"/>
        <v>154</v>
      </c>
      <c r="AU29">
        <f t="shared" si="17"/>
        <v>76</v>
      </c>
      <c r="AV29">
        <f t="shared" si="18"/>
        <v>0</v>
      </c>
      <c r="AX29">
        <v>1035843</v>
      </c>
      <c r="AY29">
        <v>2683</v>
      </c>
      <c r="AZ29">
        <v>47799</v>
      </c>
      <c r="BA29">
        <v>3234560</v>
      </c>
      <c r="BB29">
        <v>4320885</v>
      </c>
      <c r="BD29">
        <v>2683</v>
      </c>
      <c r="BE29">
        <v>4503</v>
      </c>
      <c r="BF29">
        <v>1035843</v>
      </c>
      <c r="BG29">
        <v>1554</v>
      </c>
      <c r="BH29">
        <v>120</v>
      </c>
      <c r="BI29">
        <v>3234560</v>
      </c>
      <c r="BJ29">
        <v>33056</v>
      </c>
      <c r="BK29">
        <v>104</v>
      </c>
      <c r="BL29">
        <v>8457</v>
      </c>
      <c r="BM29">
        <v>5</v>
      </c>
      <c r="BN29">
        <f t="shared" si="32"/>
        <v>4320885</v>
      </c>
      <c r="BP29">
        <f t="shared" si="33"/>
        <v>47799</v>
      </c>
      <c r="BR29">
        <v>1392</v>
      </c>
      <c r="BS29">
        <v>87</v>
      </c>
      <c r="BT29">
        <v>115656</v>
      </c>
      <c r="BU29">
        <v>684</v>
      </c>
      <c r="BV29">
        <v>281</v>
      </c>
      <c r="BW29">
        <v>185070</v>
      </c>
      <c r="BX29">
        <v>5966</v>
      </c>
      <c r="BY29">
        <v>227</v>
      </c>
      <c r="BZ29">
        <v>791</v>
      </c>
      <c r="CA29">
        <v>0</v>
      </c>
    </row>
    <row r="30" spans="1:79" x14ac:dyDescent="0.2">
      <c r="A30" s="2">
        <v>2014</v>
      </c>
      <c r="O30">
        <f t="shared" si="20"/>
        <v>4439</v>
      </c>
      <c r="P30">
        <f t="shared" si="21"/>
        <v>4328</v>
      </c>
      <c r="Q30">
        <f t="shared" si="22"/>
        <v>1123676</v>
      </c>
      <c r="R30">
        <f t="shared" si="23"/>
        <v>2060</v>
      </c>
      <c r="S30">
        <f t="shared" si="24"/>
        <v>259</v>
      </c>
      <c r="T30">
        <f t="shared" si="25"/>
        <v>3201710</v>
      </c>
      <c r="U30">
        <f t="shared" si="26"/>
        <v>38357</v>
      </c>
      <c r="V30">
        <f t="shared" si="27"/>
        <v>482</v>
      </c>
      <c r="W30">
        <f t="shared" si="28"/>
        <v>9174</v>
      </c>
      <c r="X30">
        <f t="shared" si="29"/>
        <v>5</v>
      </c>
      <c r="Z30" t="b">
        <f t="shared" si="5"/>
        <v>1</v>
      </c>
      <c r="AB30">
        <f t="shared" si="30"/>
        <v>1948</v>
      </c>
      <c r="AC30">
        <f t="shared" ref="AC30:AC36" si="40">BS30</f>
        <v>22</v>
      </c>
      <c r="AD30">
        <f t="shared" si="38"/>
        <v>113304</v>
      </c>
      <c r="AE30">
        <f>BU30</f>
        <v>516</v>
      </c>
      <c r="AF30">
        <f t="shared" si="35"/>
        <v>212</v>
      </c>
      <c r="AG30">
        <f t="shared" si="35"/>
        <v>180875</v>
      </c>
      <c r="AH30">
        <f t="shared" si="37"/>
        <v>5569</v>
      </c>
      <c r="AI30">
        <f t="shared" si="36"/>
        <v>596</v>
      </c>
      <c r="AJ30">
        <f t="shared" si="39"/>
        <v>1041</v>
      </c>
      <c r="AK30">
        <f>CA30</f>
        <v>0</v>
      </c>
      <c r="AM30">
        <f t="shared" si="9"/>
        <v>192</v>
      </c>
      <c r="AN30">
        <f t="shared" si="10"/>
        <v>197</v>
      </c>
      <c r="AO30">
        <f t="shared" si="11"/>
        <v>25471</v>
      </c>
      <c r="AP30">
        <f t="shared" si="12"/>
        <v>10</v>
      </c>
      <c r="AQ30">
        <f t="shared" si="13"/>
        <v>73</v>
      </c>
      <c r="AR30">
        <f t="shared" si="14"/>
        <v>213725</v>
      </c>
      <c r="AS30">
        <f t="shared" si="15"/>
        <v>268</v>
      </c>
      <c r="AT30">
        <f t="shared" si="16"/>
        <v>218</v>
      </c>
      <c r="AU30">
        <f t="shared" si="17"/>
        <v>324</v>
      </c>
      <c r="AV30">
        <f t="shared" si="18"/>
        <v>0</v>
      </c>
      <c r="AX30">
        <v>1123676</v>
      </c>
      <c r="AY30">
        <v>4439</v>
      </c>
      <c r="AZ30">
        <v>54665</v>
      </c>
      <c r="BA30">
        <v>3201710</v>
      </c>
      <c r="BB30">
        <v>4384490</v>
      </c>
      <c r="BD30">
        <v>4439</v>
      </c>
      <c r="BE30">
        <v>4328</v>
      </c>
      <c r="BF30">
        <v>1123676</v>
      </c>
      <c r="BG30">
        <v>2060</v>
      </c>
      <c r="BH30">
        <v>259</v>
      </c>
      <c r="BI30">
        <v>3201710</v>
      </c>
      <c r="BJ30">
        <v>38357</v>
      </c>
      <c r="BK30">
        <v>482</v>
      </c>
      <c r="BL30">
        <v>9174</v>
      </c>
      <c r="BM30">
        <v>5</v>
      </c>
      <c r="BN30">
        <f t="shared" si="32"/>
        <v>4384490</v>
      </c>
      <c r="BP30">
        <f t="shared" si="33"/>
        <v>54665</v>
      </c>
      <c r="BR30">
        <v>1948</v>
      </c>
      <c r="BS30">
        <v>22</v>
      </c>
      <c r="BT30">
        <v>113304</v>
      </c>
      <c r="BU30">
        <v>516</v>
      </c>
      <c r="BV30">
        <v>212</v>
      </c>
      <c r="BW30">
        <v>180875</v>
      </c>
      <c r="BX30">
        <v>5569</v>
      </c>
      <c r="BY30">
        <v>596</v>
      </c>
      <c r="BZ30">
        <v>1041</v>
      </c>
      <c r="CA30">
        <v>0</v>
      </c>
    </row>
    <row r="31" spans="1:79" x14ac:dyDescent="0.2">
      <c r="A31" s="2">
        <v>2015</v>
      </c>
      <c r="O31">
        <f t="shared" si="20"/>
        <v>7531</v>
      </c>
      <c r="P31">
        <f t="shared" si="21"/>
        <v>4266</v>
      </c>
      <c r="Q31">
        <f t="shared" si="22"/>
        <v>1214075</v>
      </c>
      <c r="R31">
        <f t="shared" si="23"/>
        <v>2824</v>
      </c>
      <c r="S31">
        <f t="shared" si="24"/>
        <v>399</v>
      </c>
      <c r="T31">
        <f t="shared" si="25"/>
        <v>3173806</v>
      </c>
      <c r="U31">
        <f t="shared" si="26"/>
        <v>43396</v>
      </c>
      <c r="V31">
        <f t="shared" si="27"/>
        <v>1889</v>
      </c>
      <c r="W31">
        <f t="shared" si="28"/>
        <v>9878</v>
      </c>
      <c r="X31">
        <f t="shared" si="29"/>
        <v>5</v>
      </c>
      <c r="Z31" t="b">
        <f t="shared" si="5"/>
        <v>1</v>
      </c>
      <c r="AB31">
        <f t="shared" si="30"/>
        <v>3882</v>
      </c>
      <c r="AC31">
        <f t="shared" si="40"/>
        <v>13</v>
      </c>
      <c r="AD31">
        <f t="shared" si="38"/>
        <v>127899</v>
      </c>
      <c r="AE31">
        <f>BU31</f>
        <v>835</v>
      </c>
      <c r="AF31">
        <f t="shared" si="35"/>
        <v>274</v>
      </c>
      <c r="AG31">
        <f t="shared" si="35"/>
        <v>185469</v>
      </c>
      <c r="AH31">
        <f t="shared" si="37"/>
        <v>5458</v>
      </c>
      <c r="AI31">
        <f t="shared" si="36"/>
        <v>2218</v>
      </c>
      <c r="AJ31">
        <f t="shared" si="39"/>
        <v>1080</v>
      </c>
      <c r="AK31">
        <f>CA31</f>
        <v>15</v>
      </c>
      <c r="AM31">
        <f t="shared" si="9"/>
        <v>790</v>
      </c>
      <c r="AN31">
        <f t="shared" si="10"/>
        <v>75</v>
      </c>
      <c r="AO31">
        <f t="shared" si="11"/>
        <v>37500</v>
      </c>
      <c r="AP31">
        <f t="shared" si="12"/>
        <v>71</v>
      </c>
      <c r="AQ31">
        <f t="shared" si="13"/>
        <v>134</v>
      </c>
      <c r="AR31">
        <f t="shared" si="14"/>
        <v>213373</v>
      </c>
      <c r="AS31">
        <f t="shared" si="15"/>
        <v>419</v>
      </c>
      <c r="AT31">
        <f t="shared" si="16"/>
        <v>811</v>
      </c>
      <c r="AU31">
        <f t="shared" si="17"/>
        <v>376</v>
      </c>
      <c r="AV31">
        <f t="shared" si="18"/>
        <v>15</v>
      </c>
      <c r="AX31">
        <v>1214075</v>
      </c>
      <c r="AY31">
        <v>7531</v>
      </c>
      <c r="AZ31">
        <v>62657</v>
      </c>
      <c r="BA31">
        <v>3173806</v>
      </c>
      <c r="BB31">
        <v>4458069</v>
      </c>
      <c r="BD31">
        <v>7531</v>
      </c>
      <c r="BE31">
        <v>4266</v>
      </c>
      <c r="BF31">
        <v>1214075</v>
      </c>
      <c r="BG31">
        <v>2824</v>
      </c>
      <c r="BH31">
        <v>399</v>
      </c>
      <c r="BI31">
        <v>3173806</v>
      </c>
      <c r="BJ31">
        <v>43396</v>
      </c>
      <c r="BK31">
        <v>1889</v>
      </c>
      <c r="BL31">
        <v>9878</v>
      </c>
      <c r="BM31">
        <v>5</v>
      </c>
      <c r="BN31">
        <f t="shared" si="32"/>
        <v>4458069</v>
      </c>
      <c r="BP31">
        <f t="shared" si="33"/>
        <v>62657</v>
      </c>
      <c r="BR31">
        <v>3882</v>
      </c>
      <c r="BS31">
        <v>13</v>
      </c>
      <c r="BT31">
        <v>127899</v>
      </c>
      <c r="BU31">
        <v>835</v>
      </c>
      <c r="BV31">
        <v>274</v>
      </c>
      <c r="BW31">
        <v>185469</v>
      </c>
      <c r="BX31">
        <v>5458</v>
      </c>
      <c r="BY31">
        <v>2218</v>
      </c>
      <c r="BZ31">
        <v>1080</v>
      </c>
      <c r="CA31">
        <v>15</v>
      </c>
    </row>
    <row r="32" spans="1:79" x14ac:dyDescent="0.2">
      <c r="A32" s="2">
        <v>2016</v>
      </c>
      <c r="O32">
        <f t="shared" si="20"/>
        <v>10724</v>
      </c>
      <c r="P32">
        <f t="shared" si="21"/>
        <v>4118</v>
      </c>
      <c r="Q32">
        <f t="shared" si="22"/>
        <v>1291500</v>
      </c>
      <c r="R32">
        <f t="shared" si="23"/>
        <v>3410</v>
      </c>
      <c r="S32">
        <f t="shared" si="24"/>
        <v>584</v>
      </c>
      <c r="T32">
        <f t="shared" si="25"/>
        <v>3149902</v>
      </c>
      <c r="U32">
        <f t="shared" si="26"/>
        <v>49307</v>
      </c>
      <c r="V32">
        <f t="shared" si="27"/>
        <v>4138</v>
      </c>
      <c r="W32">
        <f t="shared" si="28"/>
        <v>10331</v>
      </c>
      <c r="X32">
        <f t="shared" si="29"/>
        <v>15</v>
      </c>
      <c r="Z32" t="b">
        <f t="shared" si="5"/>
        <v>1</v>
      </c>
      <c r="AB32">
        <f t="shared" si="30"/>
        <v>3525</v>
      </c>
      <c r="AC32">
        <f t="shared" si="40"/>
        <v>4</v>
      </c>
      <c r="AD32">
        <f t="shared" si="38"/>
        <v>125595</v>
      </c>
      <c r="AE32">
        <f>R32-R31</f>
        <v>586</v>
      </c>
      <c r="AF32">
        <f>S32-S31</f>
        <v>185</v>
      </c>
      <c r="AG32">
        <f t="shared" ref="AG32:AG37" si="41">BW32</f>
        <v>178666</v>
      </c>
      <c r="AH32">
        <f t="shared" si="37"/>
        <v>7150</v>
      </c>
      <c r="AI32">
        <f t="shared" si="36"/>
        <v>2799</v>
      </c>
      <c r="AJ32">
        <f t="shared" si="39"/>
        <v>944</v>
      </c>
      <c r="AK32">
        <f>CA32</f>
        <v>10</v>
      </c>
      <c r="AM32">
        <f t="shared" si="9"/>
        <v>332</v>
      </c>
      <c r="AN32">
        <f t="shared" si="10"/>
        <v>152</v>
      </c>
      <c r="AO32">
        <f t="shared" si="11"/>
        <v>48170</v>
      </c>
      <c r="AP32">
        <f t="shared" si="12"/>
        <v>0</v>
      </c>
      <c r="AQ32">
        <f t="shared" si="13"/>
        <v>0</v>
      </c>
      <c r="AR32">
        <f t="shared" si="14"/>
        <v>202570</v>
      </c>
      <c r="AS32">
        <f t="shared" si="15"/>
        <v>1239</v>
      </c>
      <c r="AT32">
        <f t="shared" si="16"/>
        <v>550</v>
      </c>
      <c r="AU32">
        <f t="shared" si="17"/>
        <v>491</v>
      </c>
      <c r="AV32">
        <f t="shared" si="18"/>
        <v>0</v>
      </c>
      <c r="AX32">
        <v>1291500</v>
      </c>
      <c r="AY32">
        <v>10724</v>
      </c>
      <c r="AZ32">
        <v>71903</v>
      </c>
      <c r="BA32">
        <v>3149902</v>
      </c>
      <c r="BB32">
        <v>4524029</v>
      </c>
      <c r="BD32">
        <v>10724</v>
      </c>
      <c r="BE32">
        <v>4118</v>
      </c>
      <c r="BF32">
        <v>1291500</v>
      </c>
      <c r="BG32">
        <v>3410</v>
      </c>
      <c r="BH32">
        <v>584</v>
      </c>
      <c r="BI32">
        <v>3149902</v>
      </c>
      <c r="BJ32">
        <v>49307</v>
      </c>
      <c r="BK32">
        <v>4138</v>
      </c>
      <c r="BL32">
        <v>10331</v>
      </c>
      <c r="BM32">
        <v>15</v>
      </c>
      <c r="BN32">
        <f t="shared" si="32"/>
        <v>4524029</v>
      </c>
      <c r="BP32">
        <f t="shared" si="33"/>
        <v>71903</v>
      </c>
      <c r="BR32">
        <v>3525</v>
      </c>
      <c r="BS32">
        <v>4</v>
      </c>
      <c r="BT32">
        <v>125595</v>
      </c>
      <c r="BU32">
        <v>490</v>
      </c>
      <c r="BV32">
        <v>148</v>
      </c>
      <c r="BW32">
        <v>178666</v>
      </c>
      <c r="BX32">
        <v>7150</v>
      </c>
      <c r="BY32">
        <v>2799</v>
      </c>
      <c r="BZ32">
        <v>944</v>
      </c>
      <c r="CA32">
        <v>10</v>
      </c>
    </row>
    <row r="33" spans="1:80" x14ac:dyDescent="0.2">
      <c r="A33" s="2">
        <v>2017</v>
      </c>
      <c r="O33">
        <f t="shared" si="20"/>
        <v>14539</v>
      </c>
      <c r="P33">
        <f t="shared" si="21"/>
        <v>3962</v>
      </c>
      <c r="Q33">
        <f t="shared" si="22"/>
        <v>1346938</v>
      </c>
      <c r="R33">
        <f t="shared" si="23"/>
        <v>3543</v>
      </c>
      <c r="S33">
        <f t="shared" si="24"/>
        <v>683</v>
      </c>
      <c r="T33">
        <f t="shared" si="25"/>
        <v>3127023</v>
      </c>
      <c r="U33">
        <f t="shared" si="26"/>
        <v>56638</v>
      </c>
      <c r="V33">
        <f t="shared" si="27"/>
        <v>6797</v>
      </c>
      <c r="W33">
        <f t="shared" si="28"/>
        <v>10673</v>
      </c>
      <c r="X33">
        <f t="shared" si="29"/>
        <v>27</v>
      </c>
      <c r="Z33" t="b">
        <f t="shared" si="5"/>
        <v>1</v>
      </c>
      <c r="AB33">
        <f t="shared" si="30"/>
        <v>4929</v>
      </c>
      <c r="AC33">
        <f t="shared" si="40"/>
        <v>1</v>
      </c>
      <c r="AD33">
        <f t="shared" si="38"/>
        <v>113848</v>
      </c>
      <c r="AE33">
        <f>BU33</f>
        <v>181</v>
      </c>
      <c r="AF33">
        <f>BV33</f>
        <v>101</v>
      </c>
      <c r="AG33">
        <f t="shared" si="41"/>
        <v>183637</v>
      </c>
      <c r="AH33">
        <f t="shared" si="37"/>
        <v>8186</v>
      </c>
      <c r="AI33">
        <f t="shared" si="36"/>
        <v>3378</v>
      </c>
      <c r="AJ33">
        <f t="shared" si="39"/>
        <v>769</v>
      </c>
      <c r="AK33">
        <f>X33-X32</f>
        <v>12</v>
      </c>
      <c r="AM33">
        <f t="shared" si="9"/>
        <v>1114</v>
      </c>
      <c r="AN33">
        <f t="shared" si="10"/>
        <v>157</v>
      </c>
      <c r="AO33">
        <f t="shared" si="11"/>
        <v>58410</v>
      </c>
      <c r="AP33">
        <f t="shared" si="12"/>
        <v>48</v>
      </c>
      <c r="AQ33">
        <f t="shared" si="13"/>
        <v>2</v>
      </c>
      <c r="AR33">
        <f t="shared" si="14"/>
        <v>206516</v>
      </c>
      <c r="AS33">
        <f t="shared" si="15"/>
        <v>855</v>
      </c>
      <c r="AT33">
        <f t="shared" si="16"/>
        <v>719</v>
      </c>
      <c r="AU33">
        <f t="shared" si="17"/>
        <v>427</v>
      </c>
      <c r="AV33">
        <f t="shared" si="18"/>
        <v>0</v>
      </c>
      <c r="AX33">
        <v>1346938</v>
      </c>
      <c r="AY33">
        <v>14539</v>
      </c>
      <c r="AZ33">
        <v>82323</v>
      </c>
      <c r="BA33">
        <v>3127023</v>
      </c>
      <c r="BB33">
        <v>4570823</v>
      </c>
      <c r="BD33">
        <v>14539</v>
      </c>
      <c r="BE33">
        <v>3962</v>
      </c>
      <c r="BF33">
        <v>1346938</v>
      </c>
      <c r="BG33">
        <v>3543</v>
      </c>
      <c r="BH33">
        <v>683</v>
      </c>
      <c r="BI33">
        <v>3127023</v>
      </c>
      <c r="BJ33">
        <v>56638</v>
      </c>
      <c r="BK33">
        <v>6797</v>
      </c>
      <c r="BL33">
        <v>10673</v>
      </c>
      <c r="BM33">
        <v>27</v>
      </c>
      <c r="BN33">
        <f t="shared" si="32"/>
        <v>4570823</v>
      </c>
      <c r="BP33">
        <f t="shared" si="33"/>
        <v>82323</v>
      </c>
      <c r="BR33">
        <v>4929</v>
      </c>
      <c r="BS33">
        <v>1</v>
      </c>
      <c r="BT33">
        <v>113848</v>
      </c>
      <c r="BU33">
        <v>181</v>
      </c>
      <c r="BV33">
        <v>101</v>
      </c>
      <c r="BW33">
        <v>183637</v>
      </c>
      <c r="BX33">
        <v>8186</v>
      </c>
      <c r="BY33">
        <v>3378</v>
      </c>
      <c r="BZ33">
        <v>769</v>
      </c>
      <c r="CA33">
        <v>2</v>
      </c>
    </row>
    <row r="34" spans="1:80" x14ac:dyDescent="0.2">
      <c r="A34" s="2">
        <v>2018</v>
      </c>
      <c r="O34">
        <f t="shared" si="20"/>
        <v>19181</v>
      </c>
      <c r="P34">
        <f t="shared" si="21"/>
        <v>3728</v>
      </c>
      <c r="Q34">
        <f t="shared" si="22"/>
        <v>1374246</v>
      </c>
      <c r="R34">
        <f t="shared" si="23"/>
        <v>3876</v>
      </c>
      <c r="S34">
        <f t="shared" si="24"/>
        <v>780</v>
      </c>
      <c r="T34">
        <f t="shared" si="25"/>
        <v>3114725</v>
      </c>
      <c r="U34">
        <f t="shared" si="26"/>
        <v>64710</v>
      </c>
      <c r="V34">
        <f t="shared" si="27"/>
        <v>10372</v>
      </c>
      <c r="W34">
        <f t="shared" si="28"/>
        <v>11038</v>
      </c>
      <c r="X34">
        <f t="shared" si="29"/>
        <v>32</v>
      </c>
      <c r="Z34" t="b">
        <f t="shared" si="5"/>
        <v>1</v>
      </c>
      <c r="AB34">
        <f t="shared" si="30"/>
        <v>5411</v>
      </c>
      <c r="AC34">
        <f t="shared" si="40"/>
        <v>5</v>
      </c>
      <c r="AD34">
        <f t="shared" si="38"/>
        <v>90360</v>
      </c>
      <c r="AE34">
        <f>BU34</f>
        <v>794</v>
      </c>
      <c r="AF34">
        <f>S34-S33</f>
        <v>97</v>
      </c>
      <c r="AG34">
        <f t="shared" si="41"/>
        <v>188847</v>
      </c>
      <c r="AH34">
        <f t="shared" si="37"/>
        <v>10434</v>
      </c>
      <c r="AI34">
        <f t="shared" si="36"/>
        <v>4129</v>
      </c>
      <c r="AJ34">
        <f t="shared" si="39"/>
        <v>805</v>
      </c>
      <c r="AK34">
        <f>CA34</f>
        <v>27</v>
      </c>
      <c r="AM34">
        <f t="shared" si="9"/>
        <v>769</v>
      </c>
      <c r="AN34">
        <f t="shared" si="10"/>
        <v>239</v>
      </c>
      <c r="AO34">
        <f t="shared" si="11"/>
        <v>63052</v>
      </c>
      <c r="AP34">
        <f t="shared" si="12"/>
        <v>461</v>
      </c>
      <c r="AQ34">
        <f t="shared" si="13"/>
        <v>0</v>
      </c>
      <c r="AR34">
        <f t="shared" si="14"/>
        <v>201145</v>
      </c>
      <c r="AS34">
        <f t="shared" si="15"/>
        <v>2362</v>
      </c>
      <c r="AT34">
        <f t="shared" si="16"/>
        <v>554</v>
      </c>
      <c r="AU34">
        <f t="shared" si="17"/>
        <v>440</v>
      </c>
      <c r="AV34">
        <f t="shared" si="18"/>
        <v>22</v>
      </c>
      <c r="AX34">
        <v>1374246</v>
      </c>
      <c r="AY34">
        <v>19181</v>
      </c>
      <c r="AZ34">
        <v>94535</v>
      </c>
      <c r="BA34">
        <v>3114726</v>
      </c>
      <c r="BB34">
        <v>4602688</v>
      </c>
      <c r="BD34">
        <v>19181</v>
      </c>
      <c r="BE34">
        <v>3728</v>
      </c>
      <c r="BF34">
        <v>1374246</v>
      </c>
      <c r="BG34">
        <v>3876</v>
      </c>
      <c r="BH34">
        <v>780</v>
      </c>
      <c r="BI34">
        <v>3114725</v>
      </c>
      <c r="BJ34">
        <v>64710</v>
      </c>
      <c r="BK34">
        <v>10372</v>
      </c>
      <c r="BL34">
        <v>11038</v>
      </c>
      <c r="BM34">
        <v>32</v>
      </c>
      <c r="BN34">
        <f t="shared" si="32"/>
        <v>4602688</v>
      </c>
      <c r="BP34">
        <f t="shared" si="33"/>
        <v>94536</v>
      </c>
      <c r="BR34">
        <v>5411</v>
      </c>
      <c r="BS34">
        <v>5</v>
      </c>
      <c r="BT34">
        <v>90360</v>
      </c>
      <c r="BU34">
        <v>794</v>
      </c>
      <c r="BV34">
        <v>75</v>
      </c>
      <c r="BW34">
        <v>188847</v>
      </c>
      <c r="BX34">
        <v>10434</v>
      </c>
      <c r="BY34">
        <v>4129</v>
      </c>
      <c r="BZ34">
        <v>805</v>
      </c>
      <c r="CA34">
        <v>27</v>
      </c>
    </row>
    <row r="35" spans="1:80" x14ac:dyDescent="0.2">
      <c r="A35" s="2">
        <v>2019</v>
      </c>
      <c r="O35">
        <f t="shared" si="20"/>
        <v>28716</v>
      </c>
      <c r="P35">
        <f t="shared" si="21"/>
        <v>3487</v>
      </c>
      <c r="Q35">
        <f t="shared" si="22"/>
        <v>1382645</v>
      </c>
      <c r="R35">
        <f t="shared" si="23"/>
        <v>6337</v>
      </c>
      <c r="S35">
        <f t="shared" si="24"/>
        <v>785</v>
      </c>
      <c r="T35">
        <f t="shared" si="25"/>
        <v>3099442</v>
      </c>
      <c r="U35">
        <f t="shared" si="26"/>
        <v>77576</v>
      </c>
      <c r="V35">
        <f t="shared" si="27"/>
        <v>13701</v>
      </c>
      <c r="W35">
        <f t="shared" si="28"/>
        <v>11207</v>
      </c>
      <c r="X35">
        <f t="shared" si="29"/>
        <v>56</v>
      </c>
      <c r="Z35" t="b">
        <f t="shared" si="5"/>
        <v>1</v>
      </c>
      <c r="AB35">
        <f t="shared" si="30"/>
        <v>13177</v>
      </c>
      <c r="AC35">
        <f t="shared" si="40"/>
        <v>2</v>
      </c>
      <c r="AD35">
        <f t="shared" si="38"/>
        <v>79461</v>
      </c>
      <c r="AE35">
        <f>BU35</f>
        <v>3847</v>
      </c>
      <c r="AF35">
        <f>BV35</f>
        <v>10</v>
      </c>
      <c r="AG35">
        <f t="shared" si="41"/>
        <v>192119</v>
      </c>
      <c r="AH35">
        <f t="shared" si="37"/>
        <v>18285</v>
      </c>
      <c r="AI35">
        <f t="shared" si="36"/>
        <v>4199</v>
      </c>
      <c r="AJ35">
        <f t="shared" si="39"/>
        <v>1250</v>
      </c>
      <c r="AK35">
        <f>CA35</f>
        <v>27</v>
      </c>
      <c r="AM35">
        <f t="shared" si="9"/>
        <v>3642</v>
      </c>
      <c r="AN35">
        <f t="shared" si="10"/>
        <v>243</v>
      </c>
      <c r="AO35">
        <f t="shared" si="11"/>
        <v>71062</v>
      </c>
      <c r="AP35">
        <f t="shared" si="12"/>
        <v>1386</v>
      </c>
      <c r="AQ35">
        <f t="shared" si="13"/>
        <v>5</v>
      </c>
      <c r="AR35">
        <f t="shared" si="14"/>
        <v>207402</v>
      </c>
      <c r="AS35">
        <f t="shared" si="15"/>
        <v>5419</v>
      </c>
      <c r="AT35">
        <f t="shared" si="16"/>
        <v>870</v>
      </c>
      <c r="AU35">
        <f t="shared" si="17"/>
        <v>1081</v>
      </c>
      <c r="AV35">
        <f t="shared" si="18"/>
        <v>3</v>
      </c>
      <c r="AX35">
        <v>1382645</v>
      </c>
      <c r="AY35">
        <v>28716</v>
      </c>
      <c r="AZ35">
        <v>113149</v>
      </c>
      <c r="BA35">
        <v>3099442</v>
      </c>
      <c r="BB35">
        <v>4623952</v>
      </c>
      <c r="BD35">
        <v>28716</v>
      </c>
      <c r="BE35">
        <v>3487</v>
      </c>
      <c r="BF35">
        <v>1382645</v>
      </c>
      <c r="BG35">
        <v>6337</v>
      </c>
      <c r="BH35">
        <v>785</v>
      </c>
      <c r="BI35">
        <v>3099442</v>
      </c>
      <c r="BJ35">
        <v>77576</v>
      </c>
      <c r="BK35">
        <v>13701</v>
      </c>
      <c r="BL35">
        <v>11207</v>
      </c>
      <c r="BM35">
        <v>56</v>
      </c>
      <c r="BN35">
        <f t="shared" si="32"/>
        <v>4623952</v>
      </c>
      <c r="BP35">
        <f t="shared" si="33"/>
        <v>113149</v>
      </c>
      <c r="BR35">
        <v>13177</v>
      </c>
      <c r="BS35">
        <v>2</v>
      </c>
      <c r="BT35">
        <v>79461</v>
      </c>
      <c r="BU35">
        <v>3847</v>
      </c>
      <c r="BV35">
        <v>10</v>
      </c>
      <c r="BW35">
        <v>192119</v>
      </c>
      <c r="BX35">
        <v>18285</v>
      </c>
      <c r="BY35">
        <v>4199</v>
      </c>
      <c r="BZ35">
        <v>1250</v>
      </c>
      <c r="CA35">
        <v>27</v>
      </c>
    </row>
    <row r="36" spans="1:80" x14ac:dyDescent="0.2">
      <c r="A36" s="2">
        <v>2020</v>
      </c>
      <c r="O36">
        <f t="shared" si="20"/>
        <v>43396</v>
      </c>
      <c r="P36">
        <f t="shared" si="21"/>
        <v>3268</v>
      </c>
      <c r="Q36">
        <f t="shared" si="22"/>
        <v>1379077</v>
      </c>
      <c r="R36">
        <f t="shared" si="23"/>
        <v>11028</v>
      </c>
      <c r="S36">
        <f t="shared" si="24"/>
        <v>836</v>
      </c>
      <c r="T36">
        <f t="shared" si="25"/>
        <v>3087390</v>
      </c>
      <c r="U36">
        <f t="shared" si="26"/>
        <v>98892</v>
      </c>
      <c r="V36">
        <f t="shared" si="27"/>
        <v>22952</v>
      </c>
      <c r="W36">
        <f t="shared" si="28"/>
        <v>11413</v>
      </c>
      <c r="X36">
        <f t="shared" si="29"/>
        <v>83</v>
      </c>
      <c r="Z36" t="b">
        <f t="shared" si="5"/>
        <v>1</v>
      </c>
      <c r="AB36">
        <f t="shared" si="30"/>
        <v>19752</v>
      </c>
      <c r="AC36">
        <f t="shared" si="40"/>
        <v>0</v>
      </c>
      <c r="AD36">
        <f t="shared" si="38"/>
        <v>51951</v>
      </c>
      <c r="AE36">
        <f>BU36</f>
        <v>5363</v>
      </c>
      <c r="AF36">
        <f>BV36</f>
        <v>161</v>
      </c>
      <c r="AG36">
        <f t="shared" si="41"/>
        <v>118987</v>
      </c>
      <c r="AH36">
        <f t="shared" si="37"/>
        <v>27510</v>
      </c>
      <c r="AI36">
        <f t="shared" si="36"/>
        <v>14132</v>
      </c>
      <c r="AJ36">
        <f t="shared" si="39"/>
        <v>571</v>
      </c>
      <c r="AK36">
        <f>CA36</f>
        <v>48</v>
      </c>
      <c r="AM36">
        <f t="shared" si="9"/>
        <v>5072</v>
      </c>
      <c r="AN36">
        <f t="shared" si="10"/>
        <v>219</v>
      </c>
      <c r="AO36">
        <f t="shared" si="11"/>
        <v>55519</v>
      </c>
      <c r="AP36">
        <f t="shared" si="12"/>
        <v>672</v>
      </c>
      <c r="AQ36">
        <f t="shared" si="13"/>
        <v>110</v>
      </c>
      <c r="AR36">
        <f t="shared" si="14"/>
        <v>131039</v>
      </c>
      <c r="AS36">
        <f t="shared" si="15"/>
        <v>6194</v>
      </c>
      <c r="AT36">
        <f t="shared" si="16"/>
        <v>4881</v>
      </c>
      <c r="AU36">
        <f t="shared" si="17"/>
        <v>365</v>
      </c>
      <c r="AV36">
        <f t="shared" si="18"/>
        <v>21</v>
      </c>
      <c r="AX36">
        <v>1379077</v>
      </c>
      <c r="AY36">
        <v>43396</v>
      </c>
      <c r="AZ36">
        <v>148472</v>
      </c>
      <c r="BA36">
        <v>3087390</v>
      </c>
      <c r="BB36">
        <v>4658335</v>
      </c>
      <c r="BD36">
        <v>43396</v>
      </c>
      <c r="BE36">
        <v>3268</v>
      </c>
      <c r="BF36">
        <v>1379077</v>
      </c>
      <c r="BG36">
        <v>11028</v>
      </c>
      <c r="BH36">
        <v>836</v>
      </c>
      <c r="BI36">
        <v>3087390</v>
      </c>
      <c r="BJ36">
        <v>98892</v>
      </c>
      <c r="BK36">
        <v>22952</v>
      </c>
      <c r="BL36">
        <v>11413</v>
      </c>
      <c r="BM36">
        <v>83</v>
      </c>
      <c r="BN36">
        <f t="shared" si="32"/>
        <v>4658335</v>
      </c>
      <c r="BP36">
        <f t="shared" si="33"/>
        <v>148472</v>
      </c>
      <c r="BR36">
        <v>19752</v>
      </c>
      <c r="BS36">
        <v>0</v>
      </c>
      <c r="BT36">
        <v>51951</v>
      </c>
      <c r="BU36">
        <v>5363</v>
      </c>
      <c r="BV36">
        <v>161</v>
      </c>
      <c r="BW36">
        <v>118987</v>
      </c>
      <c r="BX36">
        <v>27510</v>
      </c>
      <c r="BY36">
        <v>14132</v>
      </c>
      <c r="BZ36">
        <v>571</v>
      </c>
      <c r="CA36">
        <v>48</v>
      </c>
    </row>
    <row r="37" spans="1:80" x14ac:dyDescent="0.2">
      <c r="A37" s="2">
        <v>2021</v>
      </c>
      <c r="O37">
        <f t="shared" si="20"/>
        <v>71697</v>
      </c>
      <c r="P37">
        <f t="shared" si="21"/>
        <v>5199</v>
      </c>
      <c r="Q37">
        <f t="shared" si="22"/>
        <v>1360111</v>
      </c>
      <c r="R37">
        <f t="shared" si="23"/>
        <v>20836</v>
      </c>
      <c r="S37">
        <f t="shared" si="24"/>
        <v>1362</v>
      </c>
      <c r="T37">
        <f t="shared" si="25"/>
        <v>3054773</v>
      </c>
      <c r="U37">
        <f t="shared" si="26"/>
        <v>140926</v>
      </c>
      <c r="V37">
        <f t="shared" si="27"/>
        <v>43337</v>
      </c>
      <c r="W37">
        <f t="shared" si="28"/>
        <v>10971</v>
      </c>
      <c r="X37">
        <f t="shared" si="29"/>
        <v>154</v>
      </c>
      <c r="Z37" t="b">
        <f t="shared" si="5"/>
        <v>1</v>
      </c>
      <c r="AB37">
        <f t="shared" si="30"/>
        <v>32017</v>
      </c>
      <c r="AC37">
        <f>P37-P36</f>
        <v>1931</v>
      </c>
      <c r="AD37">
        <f t="shared" si="38"/>
        <v>32639</v>
      </c>
      <c r="AE37">
        <f>R37-R36</f>
        <v>9808</v>
      </c>
      <c r="AF37">
        <f>BV37</f>
        <v>572</v>
      </c>
      <c r="AG37">
        <f t="shared" si="41"/>
        <v>100768</v>
      </c>
      <c r="AH37">
        <f t="shared" si="37"/>
        <v>44738</v>
      </c>
      <c r="AI37">
        <f t="shared" si="36"/>
        <v>21231</v>
      </c>
      <c r="AJ37">
        <f t="shared" si="39"/>
        <v>296</v>
      </c>
      <c r="AK37">
        <f>X37-X36</f>
        <v>71</v>
      </c>
      <c r="AM37">
        <f t="shared" si="9"/>
        <v>3716</v>
      </c>
      <c r="AN37">
        <f t="shared" si="10"/>
        <v>0</v>
      </c>
      <c r="AO37">
        <f t="shared" si="11"/>
        <v>51605</v>
      </c>
      <c r="AP37">
        <f t="shared" si="12"/>
        <v>0</v>
      </c>
      <c r="AQ37">
        <f t="shared" si="13"/>
        <v>46</v>
      </c>
      <c r="AR37">
        <f t="shared" si="14"/>
        <v>133385</v>
      </c>
      <c r="AS37">
        <f t="shared" si="15"/>
        <v>2704</v>
      </c>
      <c r="AT37">
        <f t="shared" si="16"/>
        <v>846</v>
      </c>
      <c r="AU37">
        <f t="shared" si="17"/>
        <v>738</v>
      </c>
      <c r="AV37">
        <f t="shared" si="18"/>
        <v>0</v>
      </c>
      <c r="AX37">
        <v>1360111</v>
      </c>
      <c r="AY37">
        <v>71697</v>
      </c>
      <c r="AZ37">
        <v>222785</v>
      </c>
      <c r="BA37">
        <v>3054773</v>
      </c>
      <c r="BB37">
        <v>4709366</v>
      </c>
      <c r="BD37">
        <v>71697</v>
      </c>
      <c r="BE37">
        <v>5199</v>
      </c>
      <c r="BF37">
        <v>1360111</v>
      </c>
      <c r="BG37">
        <v>20836</v>
      </c>
      <c r="BH37">
        <v>1362</v>
      </c>
      <c r="BI37">
        <v>3054773</v>
      </c>
      <c r="BJ37">
        <v>140926</v>
      </c>
      <c r="BK37">
        <v>43337</v>
      </c>
      <c r="BL37">
        <v>10971</v>
      </c>
      <c r="BM37">
        <v>154</v>
      </c>
      <c r="BN37">
        <f t="shared" si="32"/>
        <v>4709366</v>
      </c>
      <c r="BP37">
        <f t="shared" si="33"/>
        <v>222785</v>
      </c>
      <c r="BR37">
        <v>32017</v>
      </c>
      <c r="BS37">
        <v>3</v>
      </c>
      <c r="BT37">
        <v>32639</v>
      </c>
      <c r="BU37">
        <v>9692</v>
      </c>
      <c r="BV37">
        <v>572</v>
      </c>
      <c r="BW37">
        <v>100768</v>
      </c>
      <c r="BX37">
        <v>44738</v>
      </c>
      <c r="BY37">
        <v>21231</v>
      </c>
      <c r="BZ37">
        <v>296</v>
      </c>
      <c r="CA37">
        <v>66</v>
      </c>
    </row>
    <row r="38" spans="1:80" x14ac:dyDescent="0.2">
      <c r="A38" s="2">
        <v>2022</v>
      </c>
      <c r="AX38">
        <v>1319337</v>
      </c>
      <c r="AY38">
        <v>110751</v>
      </c>
      <c r="AZ38">
        <v>300100</v>
      </c>
      <c r="BA38">
        <v>2991092</v>
      </c>
      <c r="BB38">
        <v>4721280</v>
      </c>
      <c r="BD38">
        <v>110751</v>
      </c>
      <c r="BE38">
        <v>4839</v>
      </c>
      <c r="BF38">
        <v>1319337</v>
      </c>
      <c r="BG38">
        <v>30822</v>
      </c>
      <c r="BH38">
        <v>1712</v>
      </c>
      <c r="BI38">
        <v>2991092</v>
      </c>
      <c r="BJ38">
        <v>189550</v>
      </c>
      <c r="BK38">
        <v>62333</v>
      </c>
      <c r="BL38">
        <v>10642</v>
      </c>
      <c r="BM38">
        <v>202</v>
      </c>
      <c r="BN38">
        <f t="shared" si="32"/>
        <v>4721280</v>
      </c>
      <c r="BP38">
        <f t="shared" si="33"/>
        <v>300100</v>
      </c>
      <c r="BR38">
        <v>40507</v>
      </c>
      <c r="BS38">
        <v>0</v>
      </c>
      <c r="BT38">
        <v>26608</v>
      </c>
      <c r="BU38">
        <v>10941</v>
      </c>
      <c r="BV38">
        <v>272</v>
      </c>
      <c r="BW38">
        <v>86231</v>
      </c>
      <c r="BX38">
        <v>47100</v>
      </c>
      <c r="BY38">
        <v>17540</v>
      </c>
      <c r="BZ38">
        <v>132</v>
      </c>
      <c r="CA38">
        <v>72</v>
      </c>
    </row>
    <row r="39" spans="1:80" x14ac:dyDescent="0.2">
      <c r="A39" s="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80" x14ac:dyDescent="0.2">
      <c r="A40" s="2" t="s">
        <v>25</v>
      </c>
      <c r="BR40" t="s">
        <v>36</v>
      </c>
    </row>
    <row r="44" spans="1:80" x14ac:dyDescent="0.2">
      <c r="A44" s="2" t="s">
        <v>6</v>
      </c>
      <c r="B44" s="18" t="s">
        <v>180</v>
      </c>
      <c r="C44" s="23"/>
      <c r="O44" t="s">
        <v>29</v>
      </c>
      <c r="AB44" t="s">
        <v>29</v>
      </c>
      <c r="AX44" s="3" t="s">
        <v>5</v>
      </c>
      <c r="BC44" t="s">
        <v>34</v>
      </c>
      <c r="BD44" t="s">
        <v>19</v>
      </c>
      <c r="BR44" t="s">
        <v>33</v>
      </c>
      <c r="CB44" t="s">
        <v>35</v>
      </c>
    </row>
    <row r="45" spans="1:80" x14ac:dyDescent="0.2">
      <c r="A45" s="2" t="s">
        <v>7</v>
      </c>
    </row>
  </sheetData>
  <mergeCells count="12">
    <mergeCell ref="D1:M1"/>
    <mergeCell ref="AM2:AV2"/>
    <mergeCell ref="AM1:AV1"/>
    <mergeCell ref="BR2:CA2"/>
    <mergeCell ref="AB2:AK2"/>
    <mergeCell ref="AX2:BB2"/>
    <mergeCell ref="BD2:BN2"/>
    <mergeCell ref="O2:X2"/>
    <mergeCell ref="O1:X1"/>
    <mergeCell ref="AX1:BP1"/>
    <mergeCell ref="BR1:CB1"/>
    <mergeCell ref="AB1:AK1"/>
  </mergeCells>
  <conditionalFormatting sqref="O6:Z38">
    <cfRule type="cellIs" dxfId="17" priority="2" operator="lessThan">
      <formula>0</formula>
    </cfRule>
  </conditionalFormatting>
  <conditionalFormatting sqref="AB6:AK38">
    <cfRule type="cellIs" dxfId="16" priority="1" operator="lessThan">
      <formula>0</formula>
    </cfRule>
  </conditionalFormatting>
  <conditionalFormatting sqref="AM6:AV38">
    <cfRule type="cellIs" dxfId="15" priority="3" operator="lessThan">
      <formula>0</formula>
    </cfRule>
  </conditionalFormatting>
  <hyperlinks>
    <hyperlink ref="AX44" r:id="rId1" xr:uid="{F003793F-119B-BA45-AB09-B8C9F59C1FA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AE6-CBFA-1E40-BD4F-34153203F882}">
  <dimension ref="A1:A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5" sqref="N5:N37"/>
    </sheetView>
  </sheetViews>
  <sheetFormatPr baseColWidth="10" defaultRowHeight="16" x14ac:dyDescent="0.2"/>
  <cols>
    <col min="1" max="1" width="10.83203125" style="2"/>
    <col min="13" max="13" width="10.83203125" style="7"/>
    <col min="14" max="14" width="16" customWidth="1"/>
    <col min="15" max="15" width="10.83203125" style="7"/>
    <col min="18" max="18" width="10.83203125" style="7"/>
    <col min="23" max="23" width="13.1640625" bestFit="1" customWidth="1"/>
  </cols>
  <sheetData>
    <row r="1" spans="1:43" s="2" customFormat="1" ht="56" customHeight="1" thickTop="1" thickBot="1" x14ac:dyDescent="0.25">
      <c r="B1" s="57" t="s">
        <v>93</v>
      </c>
      <c r="C1" s="57"/>
      <c r="D1" s="57"/>
      <c r="E1" s="57"/>
      <c r="F1" s="57"/>
      <c r="G1" s="57"/>
      <c r="H1" s="57"/>
      <c r="I1" s="57"/>
      <c r="J1" s="10"/>
      <c r="K1" s="10"/>
      <c r="M1" s="6"/>
      <c r="N1" s="25" t="s">
        <v>170</v>
      </c>
      <c r="O1" s="6"/>
      <c r="P1" s="65" t="s">
        <v>184</v>
      </c>
      <c r="Q1" s="65"/>
      <c r="R1" s="6"/>
      <c r="S1" s="64" t="s">
        <v>102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14"/>
    </row>
    <row r="2" spans="1:43" s="2" customFormat="1" ht="17" thickTop="1" x14ac:dyDescent="0.2">
      <c r="A2" s="1"/>
      <c r="B2" s="56" t="s">
        <v>98</v>
      </c>
      <c r="C2" s="56"/>
      <c r="D2" s="56"/>
      <c r="E2" s="56"/>
      <c r="F2" s="56"/>
      <c r="G2" s="56"/>
      <c r="H2" s="56"/>
      <c r="I2" s="56"/>
      <c r="J2" s="1"/>
      <c r="K2" s="1"/>
      <c r="M2" s="6"/>
      <c r="O2" s="6"/>
      <c r="P2" s="2" t="s">
        <v>187</v>
      </c>
      <c r="Q2" s="2" t="s">
        <v>186</v>
      </c>
      <c r="R2" s="6"/>
      <c r="S2" s="56" t="s">
        <v>87</v>
      </c>
      <c r="T2" s="56"/>
      <c r="U2" s="56"/>
      <c r="AA2" s="56" t="s">
        <v>88</v>
      </c>
      <c r="AB2" s="56"/>
      <c r="AC2" s="1"/>
      <c r="AD2" s="2" t="s">
        <v>105</v>
      </c>
      <c r="AH2" s="56" t="s">
        <v>79</v>
      </c>
      <c r="AI2" s="56"/>
      <c r="AJ2" s="56"/>
      <c r="AK2" s="56"/>
      <c r="AL2" s="56"/>
      <c r="AM2" s="56"/>
      <c r="AN2" s="56"/>
      <c r="AO2" s="56"/>
    </row>
    <row r="3" spans="1:43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M3" s="6"/>
      <c r="N3" s="2" t="s">
        <v>185</v>
      </c>
      <c r="O3" s="6"/>
      <c r="P3" s="2" t="s">
        <v>185</v>
      </c>
      <c r="Q3" s="2" t="s">
        <v>185</v>
      </c>
      <c r="R3" s="6"/>
      <c r="S3" s="2" t="s">
        <v>58</v>
      </c>
      <c r="T3" s="2" t="s">
        <v>58</v>
      </c>
      <c r="U3" s="2" t="s">
        <v>58</v>
      </c>
      <c r="AA3" s="2" t="s">
        <v>58</v>
      </c>
      <c r="AB3" s="2" t="s">
        <v>58</v>
      </c>
      <c r="AH3" s="2" t="s">
        <v>37</v>
      </c>
      <c r="AI3" s="2" t="s">
        <v>34</v>
      </c>
      <c r="AJ3" s="2" t="s">
        <v>14</v>
      </c>
      <c r="AK3" s="2" t="s">
        <v>14</v>
      </c>
      <c r="AL3" s="2" t="s">
        <v>53</v>
      </c>
      <c r="AM3" s="2" t="s">
        <v>54</v>
      </c>
      <c r="AN3" s="2" t="s">
        <v>54</v>
      </c>
      <c r="AO3" s="2" t="s">
        <v>54</v>
      </c>
      <c r="AP3" s="2" t="s">
        <v>55</v>
      </c>
      <c r="AQ3" s="2" t="s">
        <v>56</v>
      </c>
    </row>
    <row r="4" spans="1:43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2" t="s">
        <v>89</v>
      </c>
      <c r="M4" s="6"/>
      <c r="N4" s="2" t="s">
        <v>103</v>
      </c>
      <c r="O4" s="6"/>
      <c r="P4" s="2" t="s">
        <v>185</v>
      </c>
      <c r="Q4" s="2" t="s">
        <v>185</v>
      </c>
      <c r="R4" s="6"/>
      <c r="S4" s="2" t="s">
        <v>79</v>
      </c>
      <c r="T4" s="2" t="s">
        <v>80</v>
      </c>
      <c r="U4" s="2" t="s">
        <v>81</v>
      </c>
      <c r="W4" s="2" t="s">
        <v>82</v>
      </c>
      <c r="X4" s="2" t="s">
        <v>83</v>
      </c>
      <c r="Y4" s="2" t="s">
        <v>84</v>
      </c>
      <c r="AA4" s="2" t="s">
        <v>79</v>
      </c>
      <c r="AB4" s="2" t="s">
        <v>80</v>
      </c>
      <c r="AD4" s="2" t="s">
        <v>104</v>
      </c>
      <c r="AH4" s="2" t="s">
        <v>13</v>
      </c>
      <c r="AI4" s="2" t="s">
        <v>16</v>
      </c>
      <c r="AJ4" s="2" t="s">
        <v>10</v>
      </c>
      <c r="AK4" s="2" t="s">
        <v>21</v>
      </c>
      <c r="AL4" s="2" t="s">
        <v>12</v>
      </c>
      <c r="AM4" s="2" t="s">
        <v>9</v>
      </c>
      <c r="AN4" s="2" t="s">
        <v>22</v>
      </c>
      <c r="AO4" s="2" t="s">
        <v>11</v>
      </c>
      <c r="AP4" s="2" t="s">
        <v>23</v>
      </c>
      <c r="AQ4" s="2" t="s">
        <v>24</v>
      </c>
    </row>
    <row r="5" spans="1:43" s="2" customFormat="1" x14ac:dyDescent="0.2">
      <c r="A5" s="1" t="s">
        <v>90</v>
      </c>
      <c r="B5" s="2" t="s">
        <v>91</v>
      </c>
      <c r="C5" s="2" t="s">
        <v>91</v>
      </c>
      <c r="D5" s="2" t="s">
        <v>91</v>
      </c>
      <c r="E5" s="2" t="s">
        <v>91</v>
      </c>
      <c r="F5" s="2" t="s">
        <v>91</v>
      </c>
      <c r="G5" s="2" t="s">
        <v>91</v>
      </c>
      <c r="H5" s="2" t="s">
        <v>91</v>
      </c>
      <c r="I5" s="2" t="s">
        <v>91</v>
      </c>
      <c r="J5" s="2" t="s">
        <v>91</v>
      </c>
      <c r="K5" s="2" t="s">
        <v>91</v>
      </c>
      <c r="M5" s="6"/>
      <c r="N5" s="2" t="s">
        <v>94</v>
      </c>
      <c r="O5" s="6"/>
      <c r="P5" s="2" t="s">
        <v>153</v>
      </c>
      <c r="Q5" s="2" t="s">
        <v>153</v>
      </c>
      <c r="R5" s="6"/>
      <c r="S5" s="2" t="s">
        <v>91</v>
      </c>
      <c r="T5" s="2" t="s">
        <v>91</v>
      </c>
      <c r="U5" s="2" t="s">
        <v>91</v>
      </c>
      <c r="AA5" s="2" t="s">
        <v>91</v>
      </c>
      <c r="AB5" s="2" t="s">
        <v>91</v>
      </c>
      <c r="AD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</row>
    <row r="6" spans="1:43" x14ac:dyDescent="0.2">
      <c r="A6" s="2">
        <v>1990</v>
      </c>
      <c r="B6">
        <f t="shared" ref="B6:B37" si="0">AH6*$AA6/$AD6</f>
        <v>5.1581036049337738</v>
      </c>
      <c r="C6">
        <f t="shared" ref="C6:C37" si="1">AI6*$AA6/$AD6</f>
        <v>1.223315524886494</v>
      </c>
      <c r="D6">
        <f t="shared" ref="D6:D37" si="2">AJ6*$AA6/$AD6</f>
        <v>997.93540380147817</v>
      </c>
      <c r="E6">
        <f t="shared" ref="E6:E37" si="3">AK6*$AA6/$AD6</f>
        <v>0</v>
      </c>
      <c r="F6">
        <f t="shared" ref="F6:F37" si="4">AL6*$AA6/$AD6</f>
        <v>0</v>
      </c>
      <c r="G6">
        <f t="shared" ref="G6:G37" si="5">AM6*$AA6/$AD6</f>
        <v>36646.018208507507</v>
      </c>
      <c r="H6">
        <f t="shared" ref="H6:H37" si="6">AN6*$AA6/$AD6</f>
        <v>0</v>
      </c>
      <c r="I6">
        <f t="shared" ref="I6:I37" si="7">AO6*$AA6/$AD6</f>
        <v>0</v>
      </c>
      <c r="J6">
        <f t="shared" ref="J6:J37" si="8">AP6*$AA6/$AD6</f>
        <v>0</v>
      </c>
      <c r="K6">
        <f t="shared" ref="K6:K37" si="9">AQ6*$AA6/$AD6</f>
        <v>0</v>
      </c>
      <c r="L6" t="b">
        <f t="shared" ref="L6:L37" si="10">SUM(B6:K6)=AA6</f>
        <v>1</v>
      </c>
      <c r="N6">
        <f t="shared" ref="N6:N37" si="11">AA6/AD6</f>
        <v>1.2611500256561794E-2</v>
      </c>
      <c r="P6">
        <v>0</v>
      </c>
      <c r="Q6">
        <v>1</v>
      </c>
      <c r="U6">
        <v>42649</v>
      </c>
      <c r="W6">
        <f>SUM(S6:T6)/U6-1</f>
        <v>-1</v>
      </c>
      <c r="AA6">
        <f>$U6*X$40</f>
        <v>37650.335031438808</v>
      </c>
      <c r="AB6">
        <f>$U6*Y$40</f>
        <v>4998.6649685611928</v>
      </c>
      <c r="AD6">
        <f>PrivateCars.Cap!BB6</f>
        <v>2985397</v>
      </c>
      <c r="AH6">
        <f>PrivateCars.Cap!O6</f>
        <v>409</v>
      </c>
      <c r="AI6">
        <f>PrivateCars.Cap!P6</f>
        <v>97</v>
      </c>
      <c r="AJ6">
        <f>PrivateCars.Cap!Q6</f>
        <v>79129</v>
      </c>
      <c r="AK6">
        <f>PrivateCars.Cap!R6</f>
        <v>0</v>
      </c>
      <c r="AL6">
        <f>PrivateCars.Cap!S6</f>
        <v>0</v>
      </c>
      <c r="AM6">
        <f>PrivateCars.Cap!T6</f>
        <v>2905762</v>
      </c>
      <c r="AN6">
        <f>PrivateCars.Cap!U6</f>
        <v>0</v>
      </c>
      <c r="AO6">
        <f>PrivateCars.Cap!V6</f>
        <v>0</v>
      </c>
      <c r="AP6">
        <f>PrivateCars.Cap!W6</f>
        <v>0</v>
      </c>
      <c r="AQ6">
        <f>PrivateCars.Cap!X6</f>
        <v>0</v>
      </c>
    </row>
    <row r="7" spans="1:43" x14ac:dyDescent="0.2">
      <c r="A7" s="2">
        <v>1991</v>
      </c>
      <c r="B7">
        <f t="shared" si="0"/>
        <v>8.4740732413299433</v>
      </c>
      <c r="C7">
        <f t="shared" si="1"/>
        <v>1.1366119101634797</v>
      </c>
      <c r="D7">
        <f t="shared" si="2"/>
        <v>1034.102144887958</v>
      </c>
      <c r="E7">
        <f t="shared" si="3"/>
        <v>0</v>
      </c>
      <c r="F7">
        <f t="shared" si="4"/>
        <v>0</v>
      </c>
      <c r="G7">
        <f t="shared" si="5"/>
        <v>37573.283010783525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t="b">
        <f t="shared" si="10"/>
        <v>1</v>
      </c>
      <c r="N7">
        <f t="shared" si="11"/>
        <v>1.2629021224038665E-2</v>
      </c>
      <c r="P7">
        <v>0</v>
      </c>
      <c r="Q7">
        <v>1</v>
      </c>
      <c r="U7">
        <v>43744</v>
      </c>
      <c r="W7">
        <f t="shared" ref="W7:W37" si="12">SUM(S7:T7)/U7-1</f>
        <v>-1</v>
      </c>
      <c r="AA7">
        <f t="shared" ref="AA7:AB9" si="13">$U7*X$40</f>
        <v>38616.99584082298</v>
      </c>
      <c r="AB7">
        <f t="shared" si="13"/>
        <v>5127.0041591770223</v>
      </c>
      <c r="AD7">
        <f>PrivateCars.Cap!BB7</f>
        <v>3057798</v>
      </c>
      <c r="AH7">
        <f>PrivateCars.Cap!O7</f>
        <v>671</v>
      </c>
      <c r="AI7">
        <f>PrivateCars.Cap!P7</f>
        <v>90</v>
      </c>
      <c r="AJ7">
        <f>PrivateCars.Cap!Q7</f>
        <v>81883</v>
      </c>
      <c r="AK7">
        <f>PrivateCars.Cap!R7</f>
        <v>0</v>
      </c>
      <c r="AL7">
        <f>PrivateCars.Cap!S7</f>
        <v>0</v>
      </c>
      <c r="AM7">
        <f>PrivateCars.Cap!T7</f>
        <v>2975154</v>
      </c>
      <c r="AN7">
        <f>PrivateCars.Cap!U7</f>
        <v>0</v>
      </c>
      <c r="AO7">
        <f>PrivateCars.Cap!V7</f>
        <v>0</v>
      </c>
      <c r="AP7">
        <f>PrivateCars.Cap!W7</f>
        <v>0</v>
      </c>
      <c r="AQ7">
        <f>PrivateCars.Cap!X7</f>
        <v>0</v>
      </c>
    </row>
    <row r="8" spans="1:43" x14ac:dyDescent="0.2">
      <c r="A8" s="2">
        <v>1992</v>
      </c>
      <c r="B8">
        <f t="shared" si="0"/>
        <v>9.5068314811863726</v>
      </c>
      <c r="C8">
        <f t="shared" si="1"/>
        <v>1.8619086299080962</v>
      </c>
      <c r="D8">
        <f t="shared" si="2"/>
        <v>1031.3247536788951</v>
      </c>
      <c r="E8">
        <f t="shared" si="3"/>
        <v>0</v>
      </c>
      <c r="F8">
        <f t="shared" si="4"/>
        <v>0</v>
      </c>
      <c r="G8">
        <f t="shared" si="5"/>
        <v>37073.757434776533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t="b">
        <f t="shared" si="10"/>
        <v>1</v>
      </c>
      <c r="N8">
        <f t="shared" si="11"/>
        <v>1.2330520727868187E-2</v>
      </c>
      <c r="P8">
        <v>0</v>
      </c>
      <c r="Q8">
        <v>1</v>
      </c>
      <c r="U8">
        <v>43177</v>
      </c>
      <c r="W8">
        <f t="shared" si="12"/>
        <v>-1</v>
      </c>
      <c r="AA8">
        <f t="shared" si="13"/>
        <v>38116.450928566519</v>
      </c>
      <c r="AB8">
        <f t="shared" si="13"/>
        <v>5060.5490714334837</v>
      </c>
      <c r="AD8">
        <f>PrivateCars.Cap!BB8</f>
        <v>3091228</v>
      </c>
      <c r="AH8">
        <f>PrivateCars.Cap!O8</f>
        <v>771</v>
      </c>
      <c r="AI8">
        <f>PrivateCars.Cap!P8</f>
        <v>151</v>
      </c>
      <c r="AJ8">
        <f>PrivateCars.Cap!Q8</f>
        <v>83640</v>
      </c>
      <c r="AK8">
        <f>PrivateCars.Cap!R8</f>
        <v>0</v>
      </c>
      <c r="AL8">
        <f>PrivateCars.Cap!S8</f>
        <v>0</v>
      </c>
      <c r="AM8">
        <f>PrivateCars.Cap!T8</f>
        <v>3006666</v>
      </c>
      <c r="AN8">
        <f>PrivateCars.Cap!U8</f>
        <v>0</v>
      </c>
      <c r="AO8">
        <f>PrivateCars.Cap!V8</f>
        <v>0</v>
      </c>
      <c r="AP8">
        <f>PrivateCars.Cap!W8</f>
        <v>0</v>
      </c>
      <c r="AQ8">
        <f>PrivateCars.Cap!X8</f>
        <v>0</v>
      </c>
    </row>
    <row r="9" spans="1:43" x14ac:dyDescent="0.2">
      <c r="A9" s="2">
        <v>1993</v>
      </c>
      <c r="B9">
        <f t="shared" si="0"/>
        <v>9.2857314300958969</v>
      </c>
      <c r="C9">
        <f t="shared" si="1"/>
        <v>3.4071676048413888</v>
      </c>
      <c r="D9">
        <f t="shared" si="2"/>
        <v>1028.1848071750758</v>
      </c>
      <c r="E9">
        <f t="shared" si="3"/>
        <v>0</v>
      </c>
      <c r="F9">
        <f t="shared" si="4"/>
        <v>0</v>
      </c>
      <c r="G9">
        <f t="shared" si="5"/>
        <v>36264.284378681572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t="b">
        <f t="shared" si="10"/>
        <v>1</v>
      </c>
      <c r="N9">
        <f t="shared" si="11"/>
        <v>1.199706903113165E-2</v>
      </c>
      <c r="P9">
        <v>0</v>
      </c>
      <c r="Q9">
        <v>1</v>
      </c>
      <c r="U9">
        <v>42258</v>
      </c>
      <c r="W9">
        <f t="shared" si="12"/>
        <v>-1</v>
      </c>
      <c r="AA9">
        <f t="shared" si="13"/>
        <v>37305.162084891585</v>
      </c>
      <c r="AB9">
        <f t="shared" si="13"/>
        <v>4952.8379151084173</v>
      </c>
      <c r="AD9">
        <f>PrivateCars.Cap!BB9</f>
        <v>3109523</v>
      </c>
      <c r="AH9">
        <f>PrivateCars.Cap!O9</f>
        <v>774</v>
      </c>
      <c r="AI9">
        <f>PrivateCars.Cap!P9</f>
        <v>284</v>
      </c>
      <c r="AJ9">
        <f>PrivateCars.Cap!Q9</f>
        <v>85703</v>
      </c>
      <c r="AK9">
        <f>PrivateCars.Cap!R9</f>
        <v>0</v>
      </c>
      <c r="AL9">
        <f>PrivateCars.Cap!S9</f>
        <v>0</v>
      </c>
      <c r="AM9">
        <f>PrivateCars.Cap!T9</f>
        <v>3022762</v>
      </c>
      <c r="AN9">
        <f>PrivateCars.Cap!U9</f>
        <v>0</v>
      </c>
      <c r="AO9">
        <f>PrivateCars.Cap!V9</f>
        <v>0</v>
      </c>
      <c r="AP9">
        <f>PrivateCars.Cap!W9</f>
        <v>0</v>
      </c>
      <c r="AQ9">
        <f>PrivateCars.Cap!X9</f>
        <v>0</v>
      </c>
    </row>
    <row r="10" spans="1:43" x14ac:dyDescent="0.2">
      <c r="A10" s="2">
        <v>1994</v>
      </c>
      <c r="B10">
        <f t="shared" si="0"/>
        <v>8.6877835329093429</v>
      </c>
      <c r="C10">
        <f t="shared" si="1"/>
        <v>5.1341998168677145</v>
      </c>
      <c r="D10">
        <f t="shared" si="2"/>
        <v>1017.2777964657085</v>
      </c>
      <c r="E10">
        <f t="shared" si="3"/>
        <v>0</v>
      </c>
      <c r="F10">
        <f t="shared" si="4"/>
        <v>0</v>
      </c>
      <c r="G10">
        <f t="shared" si="5"/>
        <v>34449.157986076709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t="b">
        <f t="shared" si="10"/>
        <v>1</v>
      </c>
      <c r="N10">
        <f t="shared" si="11"/>
        <v>1.1210043268270119E-2</v>
      </c>
      <c r="P10">
        <v>0</v>
      </c>
      <c r="Q10">
        <v>1</v>
      </c>
      <c r="S10">
        <v>35480.257765892195</v>
      </c>
      <c r="T10">
        <v>5458</v>
      </c>
      <c r="U10">
        <v>40938.628679892194</v>
      </c>
      <c r="W10">
        <f t="shared" si="12"/>
        <v>-9.0602448582499662E-6</v>
      </c>
      <c r="X10">
        <f t="shared" ref="X10:Y37" si="14">S10/SUM($S10:$T10)</f>
        <v>0.86667727700548736</v>
      </c>
      <c r="Y10">
        <f t="shared" si="14"/>
        <v>0.13332272299451262</v>
      </c>
      <c r="AA10">
        <f>S10</f>
        <v>35480.257765892195</v>
      </c>
      <c r="AB10">
        <f>T10</f>
        <v>5458</v>
      </c>
      <c r="AD10">
        <f>PrivateCars.Cap!BB10</f>
        <v>3165042</v>
      </c>
      <c r="AH10">
        <f>PrivateCars.Cap!O10</f>
        <v>775</v>
      </c>
      <c r="AI10">
        <f>PrivateCars.Cap!P10</f>
        <v>458</v>
      </c>
      <c r="AJ10">
        <f>PrivateCars.Cap!Q10</f>
        <v>90747</v>
      </c>
      <c r="AK10">
        <f>PrivateCars.Cap!R10</f>
        <v>0</v>
      </c>
      <c r="AL10">
        <f>PrivateCars.Cap!S10</f>
        <v>0</v>
      </c>
      <c r="AM10">
        <f>PrivateCars.Cap!T10</f>
        <v>3073062</v>
      </c>
      <c r="AN10">
        <f>PrivateCars.Cap!U10</f>
        <v>0</v>
      </c>
      <c r="AO10">
        <f>PrivateCars.Cap!V10</f>
        <v>0</v>
      </c>
      <c r="AP10">
        <f>PrivateCars.Cap!W10</f>
        <v>0</v>
      </c>
      <c r="AQ10">
        <f>PrivateCars.Cap!X10</f>
        <v>0</v>
      </c>
    </row>
    <row r="11" spans="1:43" x14ac:dyDescent="0.2">
      <c r="A11" s="2">
        <v>1995</v>
      </c>
      <c r="B11">
        <f t="shared" si="0"/>
        <v>8.6815774164364949</v>
      </c>
      <c r="C11">
        <f t="shared" si="1"/>
        <v>6.5731943295876309</v>
      </c>
      <c r="D11">
        <f t="shared" si="2"/>
        <v>1077.6994511040032</v>
      </c>
      <c r="E11">
        <f t="shared" si="3"/>
        <v>0</v>
      </c>
      <c r="F11">
        <f t="shared" si="4"/>
        <v>0</v>
      </c>
      <c r="G11">
        <f t="shared" si="5"/>
        <v>35315.281407408067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t="b">
        <f t="shared" si="10"/>
        <v>1</v>
      </c>
      <c r="N11">
        <f t="shared" si="11"/>
        <v>1.1274775865501942E-2</v>
      </c>
      <c r="P11">
        <v>0</v>
      </c>
      <c r="Q11">
        <v>1</v>
      </c>
      <c r="S11">
        <v>36408.235630258096</v>
      </c>
      <c r="T11">
        <v>4916</v>
      </c>
      <c r="U11">
        <v>41323.977458258094</v>
      </c>
      <c r="W11">
        <f t="shared" si="12"/>
        <v>6.2475109097182013E-6</v>
      </c>
      <c r="X11">
        <f t="shared" si="14"/>
        <v>0.88103833198549364</v>
      </c>
      <c r="Y11">
        <f t="shared" si="14"/>
        <v>0.11896166801450639</v>
      </c>
      <c r="AA11">
        <f t="shared" ref="AA11:AA37" si="15">S11</f>
        <v>36408.235630258096</v>
      </c>
      <c r="AB11">
        <f t="shared" ref="AB11:AB37" si="16">T11</f>
        <v>4916</v>
      </c>
      <c r="AD11">
        <f>PrivateCars.Cap!BB11</f>
        <v>3229176</v>
      </c>
      <c r="AH11">
        <f>PrivateCars.Cap!O11</f>
        <v>770</v>
      </c>
      <c r="AI11">
        <f>PrivateCars.Cap!P11</f>
        <v>583</v>
      </c>
      <c r="AJ11">
        <f>PrivateCars.Cap!Q11</f>
        <v>95585</v>
      </c>
      <c r="AK11">
        <f>PrivateCars.Cap!R11</f>
        <v>0</v>
      </c>
      <c r="AL11">
        <f>PrivateCars.Cap!S11</f>
        <v>0</v>
      </c>
      <c r="AM11">
        <f>PrivateCars.Cap!T11</f>
        <v>3132238</v>
      </c>
      <c r="AN11">
        <f>PrivateCars.Cap!U11</f>
        <v>0</v>
      </c>
      <c r="AO11">
        <f>PrivateCars.Cap!V11</f>
        <v>0</v>
      </c>
      <c r="AP11">
        <f>PrivateCars.Cap!W11</f>
        <v>0</v>
      </c>
      <c r="AQ11">
        <f>PrivateCars.Cap!X11</f>
        <v>0</v>
      </c>
    </row>
    <row r="12" spans="1:43" x14ac:dyDescent="0.2">
      <c r="A12" s="2">
        <v>1996</v>
      </c>
      <c r="B12">
        <f t="shared" si="0"/>
        <v>8.6650483561882492</v>
      </c>
      <c r="C12">
        <f t="shared" si="1"/>
        <v>7.1124178206920687</v>
      </c>
      <c r="D12">
        <f t="shared" si="2"/>
        <v>1146.3436568400193</v>
      </c>
      <c r="E12">
        <f t="shared" si="3"/>
        <v>0</v>
      </c>
      <c r="F12">
        <f t="shared" si="4"/>
        <v>0</v>
      </c>
      <c r="G12">
        <f t="shared" si="5"/>
        <v>36147.739058169303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t="b">
        <f t="shared" si="10"/>
        <v>1</v>
      </c>
      <c r="N12">
        <f t="shared" si="11"/>
        <v>1.1416400996295454E-2</v>
      </c>
      <c r="P12">
        <v>0</v>
      </c>
      <c r="Q12">
        <v>1</v>
      </c>
      <c r="S12">
        <v>37309.860181186203</v>
      </c>
      <c r="T12">
        <v>4373</v>
      </c>
      <c r="U12">
        <v>41682.9729231862</v>
      </c>
      <c r="W12">
        <f t="shared" si="12"/>
        <v>-2.7047494958187812E-6</v>
      </c>
      <c r="X12">
        <f t="shared" si="14"/>
        <v>0.89508877315540414</v>
      </c>
      <c r="Y12">
        <f t="shared" si="14"/>
        <v>0.10491122684459592</v>
      </c>
      <c r="AA12">
        <f t="shared" si="15"/>
        <v>37309.860181186203</v>
      </c>
      <c r="AB12">
        <f t="shared" si="16"/>
        <v>4373</v>
      </c>
      <c r="AD12">
        <f>PrivateCars.Cap!BB12</f>
        <v>3268093</v>
      </c>
      <c r="AH12">
        <f>PrivateCars.Cap!O12</f>
        <v>759</v>
      </c>
      <c r="AI12">
        <f>PrivateCars.Cap!P12</f>
        <v>623</v>
      </c>
      <c r="AJ12">
        <f>PrivateCars.Cap!Q12</f>
        <v>100412</v>
      </c>
      <c r="AK12">
        <f>PrivateCars.Cap!R12</f>
        <v>0</v>
      </c>
      <c r="AL12">
        <f>PrivateCars.Cap!S12</f>
        <v>0</v>
      </c>
      <c r="AM12">
        <f>PrivateCars.Cap!T12</f>
        <v>3166299</v>
      </c>
      <c r="AN12">
        <f>PrivateCars.Cap!U12</f>
        <v>0</v>
      </c>
      <c r="AO12">
        <f>PrivateCars.Cap!V12</f>
        <v>0</v>
      </c>
      <c r="AP12">
        <f>PrivateCars.Cap!W12</f>
        <v>0</v>
      </c>
      <c r="AQ12">
        <f>PrivateCars.Cap!X12</f>
        <v>0</v>
      </c>
    </row>
    <row r="13" spans="1:43" x14ac:dyDescent="0.2">
      <c r="A13" s="2">
        <v>1997</v>
      </c>
      <c r="B13">
        <f t="shared" si="0"/>
        <v>8.6303943359886155</v>
      </c>
      <c r="C13">
        <f t="shared" si="1"/>
        <v>5.7306735298729192</v>
      </c>
      <c r="D13">
        <f t="shared" si="2"/>
        <v>1211.6706884622106</v>
      </c>
      <c r="E13">
        <f t="shared" si="3"/>
        <v>0</v>
      </c>
      <c r="F13">
        <f t="shared" si="4"/>
        <v>0</v>
      </c>
      <c r="G13">
        <f t="shared" si="5"/>
        <v>36865.239436119533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t="b">
        <f t="shared" si="10"/>
        <v>1</v>
      </c>
      <c r="N13">
        <f t="shared" si="11"/>
        <v>1.1461347059745837E-2</v>
      </c>
      <c r="P13">
        <v>0</v>
      </c>
      <c r="Q13">
        <v>1</v>
      </c>
      <c r="S13">
        <v>38091.271192447603</v>
      </c>
      <c r="T13">
        <v>4357</v>
      </c>
      <c r="U13">
        <v>42447.935472184821</v>
      </c>
      <c r="W13">
        <f t="shared" si="12"/>
        <v>7.9089891897865527E-6</v>
      </c>
      <c r="X13">
        <f t="shared" si="14"/>
        <v>0.89735742168988031</v>
      </c>
      <c r="Y13">
        <f t="shared" si="14"/>
        <v>0.10264257831011968</v>
      </c>
      <c r="AA13">
        <f t="shared" si="15"/>
        <v>38091.271192447603</v>
      </c>
      <c r="AB13">
        <f t="shared" si="16"/>
        <v>4357</v>
      </c>
      <c r="AD13">
        <f>PrivateCars.Cap!BB13</f>
        <v>3323455</v>
      </c>
      <c r="AH13">
        <f>PrivateCars.Cap!O13</f>
        <v>753</v>
      </c>
      <c r="AI13">
        <f>PrivateCars.Cap!P13</f>
        <v>500</v>
      </c>
      <c r="AJ13">
        <f>PrivateCars.Cap!Q13</f>
        <v>105718</v>
      </c>
      <c r="AK13">
        <f>PrivateCars.Cap!R13</f>
        <v>0</v>
      </c>
      <c r="AL13">
        <f>PrivateCars.Cap!S13</f>
        <v>0</v>
      </c>
      <c r="AM13">
        <f>PrivateCars.Cap!T13</f>
        <v>3216484</v>
      </c>
      <c r="AN13">
        <f>PrivateCars.Cap!U13</f>
        <v>0</v>
      </c>
      <c r="AO13">
        <f>PrivateCars.Cap!V13</f>
        <v>0</v>
      </c>
      <c r="AP13">
        <f>PrivateCars.Cap!W13</f>
        <v>0</v>
      </c>
      <c r="AQ13">
        <f>PrivateCars.Cap!X13</f>
        <v>0</v>
      </c>
    </row>
    <row r="14" spans="1:43" x14ac:dyDescent="0.2">
      <c r="A14" s="2">
        <v>1998</v>
      </c>
      <c r="B14">
        <f t="shared" si="0"/>
        <v>8.5784675345562178</v>
      </c>
      <c r="C14">
        <f>AI14*$AA14/$AD14</f>
        <v>4.8641980792456829</v>
      </c>
      <c r="D14">
        <f t="shared" si="2"/>
        <v>1296.3835334795306</v>
      </c>
      <c r="E14">
        <f t="shared" si="3"/>
        <v>0</v>
      </c>
      <c r="F14">
        <f t="shared" si="4"/>
        <v>0</v>
      </c>
      <c r="G14">
        <f t="shared" si="5"/>
        <v>37595.789429508266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t="b">
        <f t="shared" si="10"/>
        <v>1</v>
      </c>
      <c r="N14">
        <f t="shared" si="11"/>
        <v>1.1499286239351498E-2</v>
      </c>
      <c r="P14">
        <v>0</v>
      </c>
      <c r="Q14">
        <v>1</v>
      </c>
      <c r="S14">
        <v>38905.615628601598</v>
      </c>
      <c r="T14">
        <v>4537</v>
      </c>
      <c r="U14">
        <v>43443.046896446198</v>
      </c>
      <c r="W14">
        <f t="shared" si="12"/>
        <v>-9.9272006779393962E-6</v>
      </c>
      <c r="X14">
        <f t="shared" si="14"/>
        <v>0.89556337862370916</v>
      </c>
      <c r="Y14">
        <f t="shared" si="14"/>
        <v>0.10443662137629084</v>
      </c>
      <c r="AA14">
        <f t="shared" si="15"/>
        <v>38905.615628601598</v>
      </c>
      <c r="AB14">
        <f t="shared" si="16"/>
        <v>4537</v>
      </c>
      <c r="AD14">
        <f>PrivateCars.Cap!BB14</f>
        <v>3383307</v>
      </c>
      <c r="AH14">
        <f>PrivateCars.Cap!O14</f>
        <v>746</v>
      </c>
      <c r="AI14">
        <f>PrivateCars.Cap!P14</f>
        <v>423</v>
      </c>
      <c r="AJ14">
        <f>PrivateCars.Cap!Q14</f>
        <v>112736</v>
      </c>
      <c r="AK14">
        <f>PrivateCars.Cap!R14</f>
        <v>0</v>
      </c>
      <c r="AL14">
        <f>PrivateCars.Cap!S14</f>
        <v>0</v>
      </c>
      <c r="AM14">
        <f>PrivateCars.Cap!T14</f>
        <v>3269402</v>
      </c>
      <c r="AN14">
        <f>PrivateCars.Cap!U14</f>
        <v>0</v>
      </c>
      <c r="AO14">
        <f>PrivateCars.Cap!V14</f>
        <v>0</v>
      </c>
      <c r="AP14">
        <f>PrivateCars.Cap!W14</f>
        <v>0</v>
      </c>
      <c r="AQ14">
        <f>PrivateCars.Cap!X14</f>
        <v>0</v>
      </c>
    </row>
    <row r="15" spans="1:43" x14ac:dyDescent="0.2">
      <c r="A15" s="2">
        <v>1999</v>
      </c>
      <c r="B15">
        <f t="shared" si="0"/>
        <v>8.3145963147273516</v>
      </c>
      <c r="C15">
        <f t="shared" si="1"/>
        <v>4.0539399158822587</v>
      </c>
      <c r="D15">
        <f t="shared" si="2"/>
        <v>1423.6908709122033</v>
      </c>
      <c r="E15">
        <f t="shared" si="3"/>
        <v>0</v>
      </c>
      <c r="F15">
        <f t="shared" si="4"/>
        <v>0</v>
      </c>
      <c r="G15">
        <f t="shared" si="5"/>
        <v>38383.403662765486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 t="b">
        <f t="shared" si="10"/>
        <v>1</v>
      </c>
      <c r="N15">
        <f t="shared" si="11"/>
        <v>1.1484249053490818E-2</v>
      </c>
      <c r="P15">
        <v>0</v>
      </c>
      <c r="Q15">
        <v>1</v>
      </c>
      <c r="S15">
        <v>39819.463069908299</v>
      </c>
      <c r="T15">
        <v>4586</v>
      </c>
      <c r="U15">
        <v>44405.582466648295</v>
      </c>
      <c r="W15">
        <f t="shared" si="12"/>
        <v>-2.6887777023754111E-6</v>
      </c>
      <c r="X15">
        <f t="shared" si="14"/>
        <v>0.89672441895763633</v>
      </c>
      <c r="Y15">
        <f t="shared" si="14"/>
        <v>0.10327558104236363</v>
      </c>
      <c r="AA15">
        <f t="shared" si="15"/>
        <v>39819.463069908299</v>
      </c>
      <c r="AB15">
        <f t="shared" si="16"/>
        <v>4586</v>
      </c>
      <c r="AD15">
        <f>PrivateCars.Cap!BB15</f>
        <v>3467311</v>
      </c>
      <c r="AH15">
        <f>PrivateCars.Cap!O15</f>
        <v>724</v>
      </c>
      <c r="AI15">
        <f>PrivateCars.Cap!P15</f>
        <v>353</v>
      </c>
      <c r="AJ15">
        <f>PrivateCars.Cap!Q15</f>
        <v>123969</v>
      </c>
      <c r="AK15">
        <f>PrivateCars.Cap!R15</f>
        <v>0</v>
      </c>
      <c r="AL15">
        <f>PrivateCars.Cap!S15</f>
        <v>0</v>
      </c>
      <c r="AM15">
        <f>PrivateCars.Cap!T15</f>
        <v>3342265</v>
      </c>
      <c r="AN15">
        <f>PrivateCars.Cap!U15</f>
        <v>0</v>
      </c>
      <c r="AO15">
        <f>PrivateCars.Cap!V15</f>
        <v>0</v>
      </c>
      <c r="AP15">
        <f>PrivateCars.Cap!W15</f>
        <v>0</v>
      </c>
      <c r="AQ15">
        <f>PrivateCars.Cap!X15</f>
        <v>0</v>
      </c>
    </row>
    <row r="16" spans="1:43" x14ac:dyDescent="0.2">
      <c r="A16" s="2">
        <v>2000</v>
      </c>
      <c r="B16">
        <f t="shared" si="0"/>
        <v>8.6826675847106696</v>
      </c>
      <c r="C16">
        <f t="shared" si="1"/>
        <v>3.6964672343396878</v>
      </c>
      <c r="D16">
        <f t="shared" si="2"/>
        <v>1633.6197235673867</v>
      </c>
      <c r="E16">
        <f t="shared" si="3"/>
        <v>0</v>
      </c>
      <c r="F16">
        <f t="shared" si="4"/>
        <v>0</v>
      </c>
      <c r="G16">
        <f t="shared" si="5"/>
        <v>39179.201680993865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 t="b">
        <f t="shared" si="10"/>
        <v>1</v>
      </c>
      <c r="N16">
        <f t="shared" si="11"/>
        <v>1.1515474250279401E-2</v>
      </c>
      <c r="P16">
        <v>0</v>
      </c>
      <c r="Q16">
        <v>1</v>
      </c>
      <c r="S16">
        <v>40825.200539380297</v>
      </c>
      <c r="T16">
        <v>4787</v>
      </c>
      <c r="U16">
        <v>45612.684980865335</v>
      </c>
      <c r="W16">
        <f t="shared" si="12"/>
        <v>-1.0620762299851094E-5</v>
      </c>
      <c r="X16">
        <f t="shared" si="14"/>
        <v>0.89505000979141447</v>
      </c>
      <c r="Y16">
        <f t="shared" si="14"/>
        <v>0.10494999020858549</v>
      </c>
      <c r="AA16">
        <f t="shared" si="15"/>
        <v>40825.200539380297</v>
      </c>
      <c r="AB16">
        <f t="shared" si="16"/>
        <v>4787</v>
      </c>
      <c r="AD16">
        <f>PrivateCars.Cap!BB16</f>
        <v>3545247</v>
      </c>
      <c r="AH16">
        <f>PrivateCars.Cap!O16</f>
        <v>754</v>
      </c>
      <c r="AI16">
        <f>PrivateCars.Cap!P16</f>
        <v>321</v>
      </c>
      <c r="AJ16">
        <f>PrivateCars.Cap!Q16</f>
        <v>141863</v>
      </c>
      <c r="AK16">
        <f>PrivateCars.Cap!R16</f>
        <v>0</v>
      </c>
      <c r="AL16">
        <f>PrivateCars.Cap!S16</f>
        <v>0</v>
      </c>
      <c r="AM16">
        <f>PrivateCars.Cap!T16</f>
        <v>3402309</v>
      </c>
      <c r="AN16">
        <f>PrivateCars.Cap!U16</f>
        <v>0</v>
      </c>
      <c r="AO16">
        <f>PrivateCars.Cap!V16</f>
        <v>0</v>
      </c>
      <c r="AP16">
        <f>PrivateCars.Cap!W16</f>
        <v>0</v>
      </c>
      <c r="AQ16">
        <f>PrivateCars.Cap!X16</f>
        <v>0</v>
      </c>
    </row>
    <row r="17" spans="1:43" x14ac:dyDescent="0.2">
      <c r="A17" s="2">
        <v>2001</v>
      </c>
      <c r="B17">
        <f t="shared" si="0"/>
        <v>7.8568120446023801</v>
      </c>
      <c r="C17">
        <f t="shared" si="1"/>
        <v>4.1789130729986574</v>
      </c>
      <c r="D17">
        <f t="shared" si="2"/>
        <v>1959.6141774491823</v>
      </c>
      <c r="E17">
        <f t="shared" si="3"/>
        <v>0</v>
      </c>
      <c r="F17">
        <f t="shared" si="4"/>
        <v>0</v>
      </c>
      <c r="G17">
        <f t="shared" si="5"/>
        <v>39357.70929591696</v>
      </c>
      <c r="H17">
        <f t="shared" si="6"/>
        <v>1.0361882551577053</v>
      </c>
      <c r="I17">
        <f t="shared" si="7"/>
        <v>0</v>
      </c>
      <c r="J17">
        <f t="shared" si="8"/>
        <v>0</v>
      </c>
      <c r="K17">
        <f t="shared" si="9"/>
        <v>0</v>
      </c>
      <c r="L17" t="b">
        <f t="shared" si="10"/>
        <v>1</v>
      </c>
      <c r="N17">
        <f t="shared" si="11"/>
        <v>1.1386684122612145E-2</v>
      </c>
      <c r="P17">
        <v>0</v>
      </c>
      <c r="Q17">
        <v>1</v>
      </c>
      <c r="S17">
        <v>41330.395386738899</v>
      </c>
      <c r="T17">
        <v>4872</v>
      </c>
      <c r="U17">
        <v>46202.491211481203</v>
      </c>
      <c r="W17">
        <f t="shared" si="12"/>
        <v>-2.0740167855359815E-6</v>
      </c>
      <c r="X17">
        <f t="shared" si="14"/>
        <v>0.89455092189011542</v>
      </c>
      <c r="Y17">
        <f t="shared" si="14"/>
        <v>0.10544907810988456</v>
      </c>
      <c r="AA17">
        <f t="shared" si="15"/>
        <v>41330.395386738899</v>
      </c>
      <c r="AB17">
        <f t="shared" si="16"/>
        <v>4872</v>
      </c>
      <c r="AD17">
        <f>PrivateCars.Cap!BB17</f>
        <v>3629713</v>
      </c>
      <c r="AH17">
        <f>PrivateCars.Cap!O17</f>
        <v>690</v>
      </c>
      <c r="AI17">
        <f>PrivateCars.Cap!P17</f>
        <v>367</v>
      </c>
      <c r="AJ17">
        <f>PrivateCars.Cap!Q17</f>
        <v>172097</v>
      </c>
      <c r="AK17">
        <f>PrivateCars.Cap!R17</f>
        <v>0</v>
      </c>
      <c r="AL17">
        <f>PrivateCars.Cap!S17</f>
        <v>0</v>
      </c>
      <c r="AM17">
        <f>PrivateCars.Cap!T17</f>
        <v>3456468</v>
      </c>
      <c r="AN17">
        <f>PrivateCars.Cap!U17</f>
        <v>91</v>
      </c>
      <c r="AO17">
        <f>PrivateCars.Cap!V17</f>
        <v>0</v>
      </c>
      <c r="AP17">
        <f>PrivateCars.Cap!W17</f>
        <v>0</v>
      </c>
      <c r="AQ17">
        <f>PrivateCars.Cap!X17</f>
        <v>0</v>
      </c>
    </row>
    <row r="18" spans="1:43" x14ac:dyDescent="0.2">
      <c r="A18" s="2">
        <v>2002</v>
      </c>
      <c r="B18">
        <f t="shared" si="0"/>
        <v>7.6769901882113478</v>
      </c>
      <c r="C18">
        <f t="shared" si="1"/>
        <v>1.7261871429114273</v>
      </c>
      <c r="D18">
        <f t="shared" si="2"/>
        <v>2421.0228939107219</v>
      </c>
      <c r="E18">
        <f t="shared" si="3"/>
        <v>0</v>
      </c>
      <c r="F18">
        <f t="shared" si="4"/>
        <v>0</v>
      </c>
      <c r="G18">
        <f t="shared" si="5"/>
        <v>39597.336209581706</v>
      </c>
      <c r="H18">
        <f t="shared" si="6"/>
        <v>2.0668819737492092</v>
      </c>
      <c r="I18">
        <f t="shared" si="7"/>
        <v>0</v>
      </c>
      <c r="J18">
        <f t="shared" si="8"/>
        <v>0</v>
      </c>
      <c r="K18">
        <f t="shared" si="9"/>
        <v>0</v>
      </c>
      <c r="L18" t="b">
        <f t="shared" si="10"/>
        <v>1</v>
      </c>
      <c r="N18">
        <f t="shared" si="11"/>
        <v>1.135649436125939E-2</v>
      </c>
      <c r="P18">
        <v>0</v>
      </c>
      <c r="Q18">
        <v>1</v>
      </c>
      <c r="S18">
        <v>42029.829162797301</v>
      </c>
      <c r="T18">
        <v>4807.387193158218</v>
      </c>
      <c r="U18">
        <v>46837.216355955519</v>
      </c>
      <c r="W18">
        <f t="shared" si="12"/>
        <v>0</v>
      </c>
      <c r="X18">
        <f t="shared" si="14"/>
        <v>0.89735967320041343</v>
      </c>
      <c r="Y18">
        <f t="shared" si="14"/>
        <v>0.10264032679958662</v>
      </c>
      <c r="AA18">
        <f t="shared" si="15"/>
        <v>42029.829162797301</v>
      </c>
      <c r="AB18">
        <f t="shared" si="16"/>
        <v>4807.387193158218</v>
      </c>
      <c r="AD18">
        <f>PrivateCars.Cap!BB18</f>
        <v>3700951</v>
      </c>
      <c r="AH18">
        <f>PrivateCars.Cap!O18</f>
        <v>676</v>
      </c>
      <c r="AI18">
        <f>PrivateCars.Cap!P18</f>
        <v>152</v>
      </c>
      <c r="AJ18">
        <f>PrivateCars.Cap!Q18</f>
        <v>213184</v>
      </c>
      <c r="AK18">
        <f>PrivateCars.Cap!R18</f>
        <v>0</v>
      </c>
      <c r="AL18">
        <f>PrivateCars.Cap!S18</f>
        <v>0</v>
      </c>
      <c r="AM18">
        <f>PrivateCars.Cap!T18</f>
        <v>3486757</v>
      </c>
      <c r="AN18">
        <f>PrivateCars.Cap!U18</f>
        <v>182</v>
      </c>
      <c r="AO18">
        <f>PrivateCars.Cap!V18</f>
        <v>0</v>
      </c>
      <c r="AP18">
        <f>PrivateCars.Cap!W18</f>
        <v>0</v>
      </c>
      <c r="AQ18">
        <f>PrivateCars.Cap!X18</f>
        <v>0</v>
      </c>
    </row>
    <row r="19" spans="1:43" x14ac:dyDescent="0.2">
      <c r="A19" s="2">
        <v>2003</v>
      </c>
      <c r="B19">
        <f t="shared" si="0"/>
        <v>7.3810215702900326</v>
      </c>
      <c r="C19">
        <f t="shared" si="1"/>
        <v>3.1746329334580787</v>
      </c>
      <c r="D19">
        <f t="shared" si="2"/>
        <v>2970.4019940638632</v>
      </c>
      <c r="E19">
        <f t="shared" si="3"/>
        <v>0</v>
      </c>
      <c r="F19">
        <f t="shared" si="4"/>
        <v>0</v>
      </c>
      <c r="G19">
        <f t="shared" si="5"/>
        <v>39577.457164961364</v>
      </c>
      <c r="H19">
        <f t="shared" si="6"/>
        <v>3.0952671101216267</v>
      </c>
      <c r="I19">
        <f t="shared" si="7"/>
        <v>0</v>
      </c>
      <c r="J19">
        <f t="shared" si="8"/>
        <v>0</v>
      </c>
      <c r="K19">
        <f t="shared" si="9"/>
        <v>0</v>
      </c>
      <c r="L19" t="b">
        <f t="shared" si="10"/>
        <v>1</v>
      </c>
      <c r="N19">
        <f t="shared" si="11"/>
        <v>1.1337974762350281E-2</v>
      </c>
      <c r="P19">
        <v>0</v>
      </c>
      <c r="Q19">
        <v>1</v>
      </c>
      <c r="S19">
        <v>42561.510080639098</v>
      </c>
      <c r="T19">
        <v>4761.4951448745069</v>
      </c>
      <c r="U19">
        <v>47323.005225513603</v>
      </c>
      <c r="W19">
        <f t="shared" si="12"/>
        <v>0</v>
      </c>
      <c r="X19">
        <f t="shared" si="14"/>
        <v>0.89938307759230374</v>
      </c>
      <c r="Y19">
        <f t="shared" si="14"/>
        <v>0.10061692240769626</v>
      </c>
      <c r="AA19">
        <f t="shared" si="15"/>
        <v>42561.510080639098</v>
      </c>
      <c r="AB19">
        <f t="shared" si="16"/>
        <v>4761.4951448745069</v>
      </c>
      <c r="AD19">
        <f>PrivateCars.Cap!BB19</f>
        <v>3753890</v>
      </c>
      <c r="AH19">
        <f>PrivateCars.Cap!O19</f>
        <v>651</v>
      </c>
      <c r="AI19">
        <f>PrivateCars.Cap!P19</f>
        <v>280</v>
      </c>
      <c r="AJ19">
        <f>PrivateCars.Cap!Q19</f>
        <v>261987</v>
      </c>
      <c r="AK19">
        <f>PrivateCars.Cap!R19</f>
        <v>0</v>
      </c>
      <c r="AL19">
        <f>PrivateCars.Cap!S19</f>
        <v>0</v>
      </c>
      <c r="AM19">
        <f>PrivateCars.Cap!T19</f>
        <v>3490699</v>
      </c>
      <c r="AN19">
        <f>PrivateCars.Cap!U19</f>
        <v>273</v>
      </c>
      <c r="AO19">
        <f>PrivateCars.Cap!V19</f>
        <v>0</v>
      </c>
      <c r="AP19">
        <f>PrivateCars.Cap!W19</f>
        <v>0</v>
      </c>
      <c r="AQ19">
        <f>PrivateCars.Cap!X19</f>
        <v>0</v>
      </c>
    </row>
    <row r="20" spans="1:43" x14ac:dyDescent="0.2">
      <c r="A20" s="2">
        <v>2004</v>
      </c>
      <c r="B20">
        <f t="shared" si="0"/>
        <v>7.0579102257902617</v>
      </c>
      <c r="C20">
        <f t="shared" si="1"/>
        <v>0</v>
      </c>
      <c r="D20">
        <f t="shared" si="2"/>
        <v>3612.5772332502934</v>
      </c>
      <c r="E20">
        <f t="shared" si="3"/>
        <v>0</v>
      </c>
      <c r="F20">
        <f t="shared" si="4"/>
        <v>0</v>
      </c>
      <c r="G20">
        <f t="shared" si="5"/>
        <v>39410.523751585722</v>
      </c>
      <c r="H20">
        <f t="shared" si="6"/>
        <v>4.1105269155002482</v>
      </c>
      <c r="I20">
        <f t="shared" si="7"/>
        <v>0</v>
      </c>
      <c r="J20">
        <f t="shared" si="8"/>
        <v>6.0076931841926706</v>
      </c>
      <c r="K20">
        <f t="shared" si="9"/>
        <v>0</v>
      </c>
      <c r="L20" t="b">
        <f t="shared" si="10"/>
        <v>1</v>
      </c>
      <c r="N20">
        <f t="shared" si="11"/>
        <v>1.1292656361264418E-2</v>
      </c>
      <c r="P20">
        <v>0</v>
      </c>
      <c r="Q20">
        <v>1</v>
      </c>
      <c r="S20">
        <v>43040.277115161502</v>
      </c>
      <c r="T20">
        <v>4815.732014274201</v>
      </c>
      <c r="U20">
        <v>47856.009129435704</v>
      </c>
      <c r="W20">
        <f t="shared" si="12"/>
        <v>0</v>
      </c>
      <c r="X20">
        <f t="shared" si="14"/>
        <v>0.899370379981976</v>
      </c>
      <c r="Y20">
        <f t="shared" si="14"/>
        <v>0.10062962001802397</v>
      </c>
      <c r="AA20">
        <f t="shared" si="15"/>
        <v>43040.277115161502</v>
      </c>
      <c r="AB20">
        <f t="shared" si="16"/>
        <v>4815.732014274201</v>
      </c>
      <c r="AD20">
        <f>PrivateCars.Cap!BB20</f>
        <v>3811351</v>
      </c>
      <c r="AH20">
        <f>PrivateCars.Cap!O20</f>
        <v>625</v>
      </c>
      <c r="AI20">
        <f>PrivateCars.Cap!P20</f>
        <v>0</v>
      </c>
      <c r="AJ20">
        <f>PrivateCars.Cap!Q20</f>
        <v>319905</v>
      </c>
      <c r="AK20">
        <f>PrivateCars.Cap!R20</f>
        <v>0</v>
      </c>
      <c r="AL20">
        <f>PrivateCars.Cap!S20</f>
        <v>0</v>
      </c>
      <c r="AM20">
        <f>PrivateCars.Cap!T20</f>
        <v>3489925</v>
      </c>
      <c r="AN20">
        <f>PrivateCars.Cap!U20</f>
        <v>364</v>
      </c>
      <c r="AO20">
        <f>PrivateCars.Cap!V20</f>
        <v>0</v>
      </c>
      <c r="AP20">
        <f>PrivateCars.Cap!W20</f>
        <v>532</v>
      </c>
      <c r="AQ20">
        <f>PrivateCars.Cap!X20</f>
        <v>0</v>
      </c>
    </row>
    <row r="21" spans="1:43" x14ac:dyDescent="0.2">
      <c r="A21" s="2">
        <v>2005</v>
      </c>
      <c r="B21">
        <f t="shared" si="0"/>
        <v>6.6256004489103377</v>
      </c>
      <c r="C21">
        <f t="shared" si="1"/>
        <v>33.74355634031194</v>
      </c>
      <c r="D21">
        <f t="shared" si="2"/>
        <v>4266.2263674318965</v>
      </c>
      <c r="E21">
        <f t="shared" si="3"/>
        <v>0</v>
      </c>
      <c r="F21">
        <f t="shared" si="4"/>
        <v>0</v>
      </c>
      <c r="G21">
        <f t="shared" si="5"/>
        <v>38891.871726968275</v>
      </c>
      <c r="H21">
        <f t="shared" si="6"/>
        <v>5.0699273705344314</v>
      </c>
      <c r="I21">
        <f t="shared" si="7"/>
        <v>0</v>
      </c>
      <c r="J21">
        <f t="shared" si="8"/>
        <v>13.284776575771234</v>
      </c>
      <c r="K21">
        <f t="shared" si="9"/>
        <v>2.2383785300372761E-2</v>
      </c>
      <c r="L21" t="b">
        <f t="shared" si="10"/>
        <v>1</v>
      </c>
      <c r="N21">
        <f t="shared" si="11"/>
        <v>1.1191892650186381E-2</v>
      </c>
      <c r="P21">
        <v>0</v>
      </c>
      <c r="Q21">
        <v>1</v>
      </c>
      <c r="S21">
        <v>43216.844338921001</v>
      </c>
      <c r="T21">
        <v>4823</v>
      </c>
      <c r="U21">
        <v>48039.968518961279</v>
      </c>
      <c r="W21">
        <f t="shared" si="12"/>
        <v>-2.5849317579762499E-6</v>
      </c>
      <c r="X21">
        <f t="shared" si="14"/>
        <v>0.89960417094664702</v>
      </c>
      <c r="Y21">
        <f t="shared" si="14"/>
        <v>0.10039582905335298</v>
      </c>
      <c r="AA21">
        <f t="shared" si="15"/>
        <v>43216.844338921001</v>
      </c>
      <c r="AB21">
        <f t="shared" si="16"/>
        <v>4823</v>
      </c>
      <c r="AD21">
        <f>PrivateCars.Cap!BB21</f>
        <v>3861442</v>
      </c>
      <c r="AH21">
        <f>PrivateCars.Cap!O21</f>
        <v>592</v>
      </c>
      <c r="AI21">
        <f>PrivateCars.Cap!P21</f>
        <v>3015</v>
      </c>
      <c r="AJ21">
        <f>PrivateCars.Cap!Q21</f>
        <v>381189</v>
      </c>
      <c r="AK21">
        <f>PrivateCars.Cap!R21</f>
        <v>0</v>
      </c>
      <c r="AL21">
        <f>PrivateCars.Cap!S21</f>
        <v>0</v>
      </c>
      <c r="AM21">
        <f>PrivateCars.Cap!T21</f>
        <v>3475004</v>
      </c>
      <c r="AN21">
        <f>PrivateCars.Cap!U21</f>
        <v>453</v>
      </c>
      <c r="AO21">
        <f>PrivateCars.Cap!V21</f>
        <v>0</v>
      </c>
      <c r="AP21">
        <f>PrivateCars.Cap!W21</f>
        <v>1187</v>
      </c>
      <c r="AQ21">
        <f>PrivateCars.Cap!X21</f>
        <v>2</v>
      </c>
    </row>
    <row r="22" spans="1:43" x14ac:dyDescent="0.2">
      <c r="A22" s="2">
        <v>2006</v>
      </c>
      <c r="B22">
        <f t="shared" si="0"/>
        <v>6.2918444600853896</v>
      </c>
      <c r="C22">
        <f t="shared" si="1"/>
        <v>25.144986934789653</v>
      </c>
      <c r="D22">
        <f t="shared" si="2"/>
        <v>5049.0596383324373</v>
      </c>
      <c r="E22">
        <f t="shared" si="3"/>
        <v>4.4781811103810604E-2</v>
      </c>
      <c r="F22">
        <f t="shared" si="4"/>
        <v>0</v>
      </c>
      <c r="G22">
        <f t="shared" si="5"/>
        <v>38538.129481567361</v>
      </c>
      <c r="H22">
        <f t="shared" si="6"/>
        <v>21.260164821534087</v>
      </c>
      <c r="I22">
        <f t="shared" si="7"/>
        <v>0</v>
      </c>
      <c r="J22">
        <f t="shared" si="8"/>
        <v>22.491664626888877</v>
      </c>
      <c r="K22">
        <f t="shared" si="9"/>
        <v>0</v>
      </c>
      <c r="L22" t="b">
        <f t="shared" si="10"/>
        <v>1</v>
      </c>
      <c r="N22">
        <f t="shared" si="11"/>
        <v>1.1195452775952651E-2</v>
      </c>
      <c r="P22">
        <v>0</v>
      </c>
      <c r="Q22">
        <v>1</v>
      </c>
      <c r="S22">
        <v>43662.422562554202</v>
      </c>
      <c r="T22">
        <v>4668</v>
      </c>
      <c r="U22">
        <v>48330.898658662438</v>
      </c>
      <c r="W22">
        <f t="shared" si="12"/>
        <v>-9.8507605165165657E-6</v>
      </c>
      <c r="X22">
        <f t="shared" si="14"/>
        <v>0.90341487302416623</v>
      </c>
      <c r="Y22">
        <f t="shared" si="14"/>
        <v>9.6585126975833796E-2</v>
      </c>
      <c r="AA22">
        <f t="shared" si="15"/>
        <v>43662.422562554202</v>
      </c>
      <c r="AB22">
        <f t="shared" si="16"/>
        <v>4668</v>
      </c>
      <c r="AD22">
        <f>PrivateCars.Cap!BB22</f>
        <v>3900014</v>
      </c>
      <c r="AH22">
        <f>PrivateCars.Cap!O22</f>
        <v>562</v>
      </c>
      <c r="AI22">
        <f>PrivateCars.Cap!P22</f>
        <v>2246</v>
      </c>
      <c r="AJ22">
        <f>PrivateCars.Cap!Q22</f>
        <v>450992</v>
      </c>
      <c r="AK22">
        <f>PrivateCars.Cap!R22</f>
        <v>4</v>
      </c>
      <c r="AL22">
        <f>PrivateCars.Cap!S22</f>
        <v>0</v>
      </c>
      <c r="AM22">
        <f>PrivateCars.Cap!T22</f>
        <v>3442302</v>
      </c>
      <c r="AN22">
        <f>PrivateCars.Cap!U22</f>
        <v>1899</v>
      </c>
      <c r="AO22">
        <f>PrivateCars.Cap!V22</f>
        <v>0</v>
      </c>
      <c r="AP22">
        <f>PrivateCars.Cap!W22</f>
        <v>2009</v>
      </c>
      <c r="AQ22">
        <f>PrivateCars.Cap!X22</f>
        <v>0</v>
      </c>
    </row>
    <row r="23" spans="1:43" x14ac:dyDescent="0.2">
      <c r="A23" s="2">
        <v>2007</v>
      </c>
      <c r="B23">
        <f t="shared" si="0"/>
        <v>5.8734850501445033</v>
      </c>
      <c r="C23">
        <f t="shared" si="1"/>
        <v>45.931098053118667</v>
      </c>
      <c r="D23">
        <f t="shared" si="2"/>
        <v>5835.819102455509</v>
      </c>
      <c r="E23">
        <f t="shared" si="3"/>
        <v>3.3372074148548321E-2</v>
      </c>
      <c r="F23">
        <f t="shared" si="4"/>
        <v>0</v>
      </c>
      <c r="G23">
        <f t="shared" si="5"/>
        <v>38022.817525914725</v>
      </c>
      <c r="H23">
        <f t="shared" si="6"/>
        <v>54.385356837417568</v>
      </c>
      <c r="I23">
        <f t="shared" si="7"/>
        <v>0</v>
      </c>
      <c r="J23">
        <f t="shared" si="8"/>
        <v>39.412419569435556</v>
      </c>
      <c r="K23">
        <f t="shared" si="9"/>
        <v>0</v>
      </c>
      <c r="L23" t="b">
        <f t="shared" si="10"/>
        <v>1</v>
      </c>
      <c r="N23">
        <f t="shared" si="11"/>
        <v>1.1124024716182773E-2</v>
      </c>
      <c r="P23">
        <v>0</v>
      </c>
      <c r="Q23">
        <v>1</v>
      </c>
      <c r="S23">
        <v>44004.272359954499</v>
      </c>
      <c r="T23">
        <v>4724</v>
      </c>
      <c r="U23">
        <v>48727.996091082219</v>
      </c>
      <c r="W23">
        <f t="shared" si="12"/>
        <v>5.6696128394317924E-6</v>
      </c>
      <c r="X23">
        <f t="shared" si="14"/>
        <v>0.90305422763393017</v>
      </c>
      <c r="Y23">
        <f t="shared" si="14"/>
        <v>9.6945772366069813E-2</v>
      </c>
      <c r="AA23">
        <f t="shared" si="15"/>
        <v>44004.272359954499</v>
      </c>
      <c r="AB23">
        <f t="shared" si="16"/>
        <v>4724</v>
      </c>
      <c r="AD23">
        <f>PrivateCars.Cap!BB23</f>
        <v>3955787</v>
      </c>
      <c r="AH23">
        <f>PrivateCars.Cap!O23</f>
        <v>528</v>
      </c>
      <c r="AI23">
        <f>PrivateCars.Cap!P23</f>
        <v>4129</v>
      </c>
      <c r="AJ23">
        <f>PrivateCars.Cap!Q23</f>
        <v>524614</v>
      </c>
      <c r="AK23">
        <f>PrivateCars.Cap!R23</f>
        <v>3</v>
      </c>
      <c r="AL23">
        <f>PrivateCars.Cap!S23</f>
        <v>0</v>
      </c>
      <c r="AM23">
        <f>PrivateCars.Cap!T23</f>
        <v>3418081</v>
      </c>
      <c r="AN23">
        <f>PrivateCars.Cap!U23</f>
        <v>4889</v>
      </c>
      <c r="AO23">
        <f>PrivateCars.Cap!V23</f>
        <v>0</v>
      </c>
      <c r="AP23">
        <f>PrivateCars.Cap!W23</f>
        <v>3543</v>
      </c>
      <c r="AQ23">
        <f>PrivateCars.Cap!X23</f>
        <v>0</v>
      </c>
    </row>
    <row r="24" spans="1:43" x14ac:dyDescent="0.2">
      <c r="A24" s="2">
        <v>2008</v>
      </c>
      <c r="B24">
        <f t="shared" si="0"/>
        <v>5.7978195101532224</v>
      </c>
      <c r="C24">
        <f t="shared" si="1"/>
        <v>84.634707626936887</v>
      </c>
      <c r="D24">
        <f t="shared" si="2"/>
        <v>6689.1361342672999</v>
      </c>
      <c r="E24">
        <f t="shared" si="3"/>
        <v>3.3643053250405543E-2</v>
      </c>
      <c r="F24">
        <f t="shared" si="4"/>
        <v>0</v>
      </c>
      <c r="G24">
        <f t="shared" si="5"/>
        <v>37796.019029742114</v>
      </c>
      <c r="H24">
        <f t="shared" si="6"/>
        <v>113.2313028897816</v>
      </c>
      <c r="I24">
        <f t="shared" si="7"/>
        <v>0</v>
      </c>
      <c r="J24">
        <f t="shared" si="8"/>
        <v>54.266244892904147</v>
      </c>
      <c r="K24">
        <f t="shared" si="9"/>
        <v>2.2428702166937032E-2</v>
      </c>
      <c r="L24" t="b">
        <f t="shared" si="10"/>
        <v>1</v>
      </c>
      <c r="N24">
        <f t="shared" si="11"/>
        <v>1.1214351083468516E-2</v>
      </c>
      <c r="P24">
        <v>0</v>
      </c>
      <c r="Q24">
        <v>1</v>
      </c>
      <c r="S24">
        <v>44743.141310684601</v>
      </c>
      <c r="T24">
        <v>5089.8025021134999</v>
      </c>
      <c r="U24">
        <v>49832.943812798097</v>
      </c>
      <c r="W24">
        <f t="shared" si="12"/>
        <v>0</v>
      </c>
      <c r="X24">
        <f t="shared" si="14"/>
        <v>0.89786269658814877</v>
      </c>
      <c r="Y24">
        <f t="shared" si="14"/>
        <v>0.10213730341185136</v>
      </c>
      <c r="AA24">
        <f t="shared" si="15"/>
        <v>44743.141310684601</v>
      </c>
      <c r="AB24">
        <f t="shared" si="16"/>
        <v>5089.8025021134999</v>
      </c>
      <c r="AD24">
        <f>PrivateCars.Cap!BB24</f>
        <v>3989811</v>
      </c>
      <c r="AH24">
        <f>PrivateCars.Cap!O24</f>
        <v>517</v>
      </c>
      <c r="AI24">
        <f>PrivateCars.Cap!P24</f>
        <v>7547</v>
      </c>
      <c r="AJ24">
        <f>PrivateCars.Cap!Q24</f>
        <v>596480</v>
      </c>
      <c r="AK24">
        <f>PrivateCars.Cap!R24</f>
        <v>3</v>
      </c>
      <c r="AL24">
        <f>PrivateCars.Cap!S24</f>
        <v>0</v>
      </c>
      <c r="AM24">
        <f>PrivateCars.Cap!T24</f>
        <v>3370326</v>
      </c>
      <c r="AN24">
        <f>PrivateCars.Cap!U24</f>
        <v>10097</v>
      </c>
      <c r="AO24">
        <f>PrivateCars.Cap!V24</f>
        <v>0</v>
      </c>
      <c r="AP24">
        <f>PrivateCars.Cap!W24</f>
        <v>4839</v>
      </c>
      <c r="AQ24">
        <f>PrivateCars.Cap!X24</f>
        <v>2</v>
      </c>
    </row>
    <row r="25" spans="1:43" x14ac:dyDescent="0.2">
      <c r="A25" s="2">
        <v>2009</v>
      </c>
      <c r="B25">
        <f t="shared" si="0"/>
        <v>5.8290989916819882</v>
      </c>
      <c r="C25">
        <f t="shared" si="1"/>
        <v>35.657691488179665</v>
      </c>
      <c r="D25">
        <f t="shared" si="2"/>
        <v>7583.3959341219988</v>
      </c>
      <c r="E25">
        <f t="shared" si="3"/>
        <v>0.11384958968128883</v>
      </c>
      <c r="F25">
        <f t="shared" si="4"/>
        <v>0</v>
      </c>
      <c r="G25">
        <f t="shared" si="5"/>
        <v>37807.285590952073</v>
      </c>
      <c r="H25">
        <f t="shared" si="6"/>
        <v>149.38204662081907</v>
      </c>
      <c r="I25">
        <f t="shared" si="7"/>
        <v>0</v>
      </c>
      <c r="J25">
        <f t="shared" si="8"/>
        <v>67.467266845131761</v>
      </c>
      <c r="K25">
        <f t="shared" si="9"/>
        <v>2.2769917936257766E-2</v>
      </c>
      <c r="L25" t="b">
        <f t="shared" si="10"/>
        <v>1</v>
      </c>
      <c r="N25">
        <f t="shared" si="11"/>
        <v>1.1384958968128883E-2</v>
      </c>
      <c r="P25">
        <v>0</v>
      </c>
      <c r="Q25">
        <v>1</v>
      </c>
      <c r="S25">
        <v>45649.154248527506</v>
      </c>
      <c r="T25">
        <v>5462.4403886804466</v>
      </c>
      <c r="U25">
        <v>51111.594637207949</v>
      </c>
      <c r="W25">
        <f t="shared" si="12"/>
        <v>0</v>
      </c>
      <c r="X25">
        <f t="shared" si="14"/>
        <v>0.89312717735666336</v>
      </c>
      <c r="Y25">
        <f t="shared" si="14"/>
        <v>0.10687282264333675</v>
      </c>
      <c r="AA25">
        <f t="shared" si="15"/>
        <v>45649.154248527506</v>
      </c>
      <c r="AB25">
        <f t="shared" si="16"/>
        <v>5462.4403886804466</v>
      </c>
      <c r="AD25">
        <f>PrivateCars.Cap!BB25</f>
        <v>4009602</v>
      </c>
      <c r="AH25">
        <f>PrivateCars.Cap!O25</f>
        <v>512</v>
      </c>
      <c r="AI25">
        <f>PrivateCars.Cap!P25</f>
        <v>3132</v>
      </c>
      <c r="AJ25">
        <f>PrivateCars.Cap!Q25</f>
        <v>666089</v>
      </c>
      <c r="AK25">
        <f>PrivateCars.Cap!R25</f>
        <v>10</v>
      </c>
      <c r="AL25">
        <f>PrivateCars.Cap!S25</f>
        <v>0</v>
      </c>
      <c r="AM25">
        <f>PrivateCars.Cap!T25</f>
        <v>3320810</v>
      </c>
      <c r="AN25">
        <f>PrivateCars.Cap!U25</f>
        <v>13121</v>
      </c>
      <c r="AO25">
        <f>PrivateCars.Cap!V25</f>
        <v>0</v>
      </c>
      <c r="AP25">
        <f>PrivateCars.Cap!W25</f>
        <v>5926</v>
      </c>
      <c r="AQ25">
        <f>PrivateCars.Cap!X25</f>
        <v>2</v>
      </c>
    </row>
    <row r="26" spans="1:43" x14ac:dyDescent="0.2">
      <c r="A26" s="2">
        <v>2010</v>
      </c>
      <c r="B26">
        <f t="shared" si="0"/>
        <v>7.541919338236645</v>
      </c>
      <c r="C26">
        <f t="shared" si="1"/>
        <v>40.873800443616346</v>
      </c>
      <c r="D26">
        <f t="shared" si="2"/>
        <v>8382.4407307109213</v>
      </c>
      <c r="E26">
        <f t="shared" si="3"/>
        <v>0.19280094548875634</v>
      </c>
      <c r="F26">
        <f t="shared" si="4"/>
        <v>0</v>
      </c>
      <c r="G26">
        <f t="shared" si="5"/>
        <v>37523.986086837991</v>
      </c>
      <c r="H26">
        <f t="shared" si="6"/>
        <v>194.36603551684152</v>
      </c>
      <c r="I26">
        <f t="shared" si="7"/>
        <v>1.1341232087573903E-2</v>
      </c>
      <c r="J26">
        <f t="shared" si="8"/>
        <v>75.441875846541592</v>
      </c>
      <c r="K26">
        <f t="shared" si="9"/>
        <v>2.2682464175147805E-2</v>
      </c>
      <c r="L26" t="b">
        <f t="shared" si="10"/>
        <v>1</v>
      </c>
      <c r="N26">
        <f t="shared" si="11"/>
        <v>1.1341232087573903E-2</v>
      </c>
      <c r="P26">
        <v>0</v>
      </c>
      <c r="Q26">
        <v>1</v>
      </c>
      <c r="S26">
        <v>46224.8772733359</v>
      </c>
      <c r="T26">
        <v>5841.3215930678834</v>
      </c>
      <c r="U26">
        <v>52066.198866403785</v>
      </c>
      <c r="W26">
        <f t="shared" si="12"/>
        <v>0</v>
      </c>
      <c r="X26">
        <f t="shared" si="14"/>
        <v>0.88780971685572663</v>
      </c>
      <c r="Y26">
        <f t="shared" si="14"/>
        <v>0.11219028314427332</v>
      </c>
      <c r="AA26">
        <f t="shared" si="15"/>
        <v>46224.8772733359</v>
      </c>
      <c r="AB26">
        <f t="shared" si="16"/>
        <v>5841.3215930678834</v>
      </c>
      <c r="AD26">
        <f>PrivateCars.Cap!BB26</f>
        <v>4075825</v>
      </c>
      <c r="AH26">
        <f>PrivateCars.Cap!O26</f>
        <v>665</v>
      </c>
      <c r="AI26">
        <f>PrivateCars.Cap!P26</f>
        <v>3604</v>
      </c>
      <c r="AJ26">
        <f>PrivateCars.Cap!Q26</f>
        <v>739112</v>
      </c>
      <c r="AK26">
        <f>PrivateCars.Cap!R26</f>
        <v>17</v>
      </c>
      <c r="AL26">
        <f>PrivateCars.Cap!S26</f>
        <v>0</v>
      </c>
      <c r="AM26">
        <f>PrivateCars.Cap!T26</f>
        <v>3308634</v>
      </c>
      <c r="AN26">
        <f>PrivateCars.Cap!U26</f>
        <v>17138</v>
      </c>
      <c r="AO26">
        <f>PrivateCars.Cap!V26</f>
        <v>1</v>
      </c>
      <c r="AP26">
        <f>PrivateCars.Cap!W26</f>
        <v>6652</v>
      </c>
      <c r="AQ26">
        <f>PrivateCars.Cap!X26</f>
        <v>2</v>
      </c>
    </row>
    <row r="27" spans="1:43" x14ac:dyDescent="0.2">
      <c r="A27" s="2">
        <v>2011</v>
      </c>
      <c r="B27">
        <f t="shared" si="0"/>
        <v>11.654071731523274</v>
      </c>
      <c r="C27">
        <f t="shared" si="1"/>
        <v>44.45068355835793</v>
      </c>
      <c r="D27">
        <f t="shared" si="2"/>
        <v>9232.7708857399539</v>
      </c>
      <c r="E27">
        <f t="shared" si="3"/>
        <v>0.34605002267933099</v>
      </c>
      <c r="F27">
        <f t="shared" si="4"/>
        <v>0</v>
      </c>
      <c r="G27">
        <f t="shared" si="5"/>
        <v>36854.338578252704</v>
      </c>
      <c r="H27">
        <f t="shared" si="6"/>
        <v>245.56156125483622</v>
      </c>
      <c r="I27">
        <f t="shared" si="7"/>
        <v>3.3488711872193322E-2</v>
      </c>
      <c r="J27">
        <f t="shared" si="8"/>
        <v>82.036181182916238</v>
      </c>
      <c r="K27">
        <f t="shared" si="9"/>
        <v>1.1162903957397774E-2</v>
      </c>
      <c r="L27" t="b">
        <f t="shared" si="10"/>
        <v>1</v>
      </c>
      <c r="N27">
        <f t="shared" si="11"/>
        <v>1.1162903957397774E-2</v>
      </c>
      <c r="P27">
        <v>0</v>
      </c>
      <c r="Q27">
        <v>1</v>
      </c>
      <c r="S27">
        <v>46471.202663358803</v>
      </c>
      <c r="T27">
        <v>6226.1243194769177</v>
      </c>
      <c r="U27">
        <v>52697.326982835722</v>
      </c>
      <c r="W27">
        <f t="shared" si="12"/>
        <v>0</v>
      </c>
      <c r="X27">
        <f t="shared" si="14"/>
        <v>0.88185123086973927</v>
      </c>
      <c r="Y27">
        <f t="shared" si="14"/>
        <v>0.11814876913026075</v>
      </c>
      <c r="AA27">
        <f t="shared" si="15"/>
        <v>46471.202663358803</v>
      </c>
      <c r="AB27">
        <f t="shared" si="16"/>
        <v>6226.1243194769177</v>
      </c>
      <c r="AD27">
        <f>PrivateCars.Cap!BB27</f>
        <v>4163003</v>
      </c>
      <c r="AH27">
        <f>PrivateCars.Cap!O27</f>
        <v>1044</v>
      </c>
      <c r="AI27">
        <f>PrivateCars.Cap!P27</f>
        <v>3982</v>
      </c>
      <c r="AJ27">
        <f>PrivateCars.Cap!Q27</f>
        <v>827094</v>
      </c>
      <c r="AK27">
        <f>PrivateCars.Cap!R27</f>
        <v>31</v>
      </c>
      <c r="AL27">
        <f>PrivateCars.Cap!S27</f>
        <v>0</v>
      </c>
      <c r="AM27">
        <f>PrivateCars.Cap!T27</f>
        <v>3301501</v>
      </c>
      <c r="AN27">
        <f>PrivateCars.Cap!U27</f>
        <v>21998</v>
      </c>
      <c r="AO27">
        <f>PrivateCars.Cap!V27</f>
        <v>3</v>
      </c>
      <c r="AP27">
        <f>PrivateCars.Cap!W27</f>
        <v>7349</v>
      </c>
      <c r="AQ27">
        <f>PrivateCars.Cap!X27</f>
        <v>1</v>
      </c>
    </row>
    <row r="28" spans="1:43" x14ac:dyDescent="0.2">
      <c r="A28" s="2">
        <v>2012</v>
      </c>
      <c r="B28">
        <f t="shared" si="0"/>
        <v>19.463188972442293</v>
      </c>
      <c r="C28">
        <f t="shared" si="1"/>
        <v>48.425476999694311</v>
      </c>
      <c r="D28">
        <f t="shared" si="2"/>
        <v>10341.44107402434</v>
      </c>
      <c r="E28">
        <f t="shared" si="3"/>
        <v>8.5137612740660558</v>
      </c>
      <c r="F28">
        <f t="shared" si="4"/>
        <v>0</v>
      </c>
      <c r="G28">
        <f t="shared" si="5"/>
        <v>36298.90278965998</v>
      </c>
      <c r="H28">
        <f t="shared" si="6"/>
        <v>302.13334872465884</v>
      </c>
      <c r="I28">
        <f t="shared" si="7"/>
        <v>0.34320754160734418</v>
      </c>
      <c r="J28">
        <f t="shared" si="8"/>
        <v>85.713315713679322</v>
      </c>
      <c r="K28">
        <f t="shared" si="9"/>
        <v>2.2142422039183499E-2</v>
      </c>
      <c r="L28" t="b">
        <f t="shared" si="10"/>
        <v>1</v>
      </c>
      <c r="N28">
        <f t="shared" si="11"/>
        <v>1.1071211019591749E-2</v>
      </c>
      <c r="P28">
        <v>0</v>
      </c>
      <c r="Q28">
        <v>1</v>
      </c>
      <c r="S28">
        <v>47104.958305332504</v>
      </c>
      <c r="T28">
        <v>6616.5267721086529</v>
      </c>
      <c r="U28">
        <v>53721.485077441161</v>
      </c>
      <c r="W28">
        <f t="shared" si="12"/>
        <v>0</v>
      </c>
      <c r="X28">
        <f t="shared" si="14"/>
        <v>0.87683648799785163</v>
      </c>
      <c r="Y28">
        <f t="shared" si="14"/>
        <v>0.12316351200214826</v>
      </c>
      <c r="AA28">
        <f t="shared" si="15"/>
        <v>47104.958305332504</v>
      </c>
      <c r="AB28">
        <f t="shared" si="16"/>
        <v>6616.5267721086529</v>
      </c>
      <c r="AD28">
        <f>PrivateCars.Cap!BB28</f>
        <v>4254725</v>
      </c>
      <c r="AH28">
        <f>PrivateCars.Cap!O28</f>
        <v>1758</v>
      </c>
      <c r="AI28">
        <f>PrivateCars.Cap!P28</f>
        <v>4374</v>
      </c>
      <c r="AJ28">
        <f>PrivateCars.Cap!Q28</f>
        <v>934084</v>
      </c>
      <c r="AK28">
        <f>PrivateCars.Cap!R28</f>
        <v>769</v>
      </c>
      <c r="AL28">
        <f>PrivateCars.Cap!S28</f>
        <v>0</v>
      </c>
      <c r="AM28">
        <f>PrivateCars.Cap!T28</f>
        <v>3278675</v>
      </c>
      <c r="AN28">
        <f>PrivateCars.Cap!U28</f>
        <v>27290</v>
      </c>
      <c r="AO28">
        <f>PrivateCars.Cap!V28</f>
        <v>31</v>
      </c>
      <c r="AP28">
        <f>PrivateCars.Cap!W28</f>
        <v>7742</v>
      </c>
      <c r="AQ28">
        <f>PrivateCars.Cap!X28</f>
        <v>2</v>
      </c>
    </row>
    <row r="29" spans="1:43" x14ac:dyDescent="0.2">
      <c r="A29" s="2">
        <v>2013</v>
      </c>
      <c r="B29">
        <f t="shared" si="0"/>
        <v>29.607807624923659</v>
      </c>
      <c r="C29">
        <f t="shared" si="1"/>
        <v>49.692119916150297</v>
      </c>
      <c r="D29">
        <f t="shared" si="2"/>
        <v>11430.875987187403</v>
      </c>
      <c r="E29">
        <f t="shared" si="3"/>
        <v>17.148912802508896</v>
      </c>
      <c r="F29">
        <f t="shared" si="4"/>
        <v>1.3242403708501078</v>
      </c>
      <c r="G29">
        <f t="shared" si="5"/>
        <v>35694.457782807702</v>
      </c>
      <c r="H29">
        <f t="shared" si="6"/>
        <v>364.78408082350967</v>
      </c>
      <c r="I29">
        <f t="shared" si="7"/>
        <v>1.1476749880700936</v>
      </c>
      <c r="J29">
        <f t="shared" si="8"/>
        <v>93.325840135661352</v>
      </c>
      <c r="K29">
        <f t="shared" si="9"/>
        <v>5.5176682118754497E-2</v>
      </c>
      <c r="L29" t="b">
        <f t="shared" si="10"/>
        <v>1</v>
      </c>
      <c r="N29">
        <f t="shared" si="11"/>
        <v>1.1035336423750899E-2</v>
      </c>
      <c r="P29">
        <v>0</v>
      </c>
      <c r="Q29">
        <v>1</v>
      </c>
      <c r="S29">
        <v>47682.419623338901</v>
      </c>
      <c r="T29">
        <v>7012.2071551642011</v>
      </c>
      <c r="U29">
        <v>54694.626778503101</v>
      </c>
      <c r="W29">
        <f t="shared" si="12"/>
        <v>0</v>
      </c>
      <c r="X29">
        <f t="shared" si="14"/>
        <v>0.87179349109444437</v>
      </c>
      <c r="Y29">
        <f t="shared" si="14"/>
        <v>0.12820650890555566</v>
      </c>
      <c r="AA29">
        <f t="shared" si="15"/>
        <v>47682.419623338901</v>
      </c>
      <c r="AB29">
        <f t="shared" si="16"/>
        <v>7012.2071551642011</v>
      </c>
      <c r="AD29">
        <f>PrivateCars.Cap!BB29</f>
        <v>4320885</v>
      </c>
      <c r="AH29">
        <f>PrivateCars.Cap!O29</f>
        <v>2683</v>
      </c>
      <c r="AI29">
        <f>PrivateCars.Cap!P29</f>
        <v>4503</v>
      </c>
      <c r="AJ29">
        <f>PrivateCars.Cap!Q29</f>
        <v>1035843</v>
      </c>
      <c r="AK29">
        <f>PrivateCars.Cap!R29</f>
        <v>1554</v>
      </c>
      <c r="AL29">
        <f>PrivateCars.Cap!S29</f>
        <v>120</v>
      </c>
      <c r="AM29">
        <f>PrivateCars.Cap!T29</f>
        <v>3234560</v>
      </c>
      <c r="AN29">
        <f>PrivateCars.Cap!U29</f>
        <v>33056</v>
      </c>
      <c r="AO29">
        <f>PrivateCars.Cap!V29</f>
        <v>104</v>
      </c>
      <c r="AP29">
        <f>PrivateCars.Cap!W29</f>
        <v>8457</v>
      </c>
      <c r="AQ29">
        <f>PrivateCars.Cap!X29</f>
        <v>5</v>
      </c>
    </row>
    <row r="30" spans="1:43" x14ac:dyDescent="0.2">
      <c r="A30" s="2">
        <v>2014</v>
      </c>
      <c r="B30">
        <f t="shared" si="0"/>
        <v>48.827292607322683</v>
      </c>
      <c r="C30">
        <f t="shared" si="1"/>
        <v>47.606335301755486</v>
      </c>
      <c r="D30">
        <f t="shared" si="2"/>
        <v>12360.003795410212</v>
      </c>
      <c r="E30">
        <f t="shared" si="3"/>
        <v>22.65920765286883</v>
      </c>
      <c r="F30">
        <f t="shared" si="4"/>
        <v>2.8489003796568091</v>
      </c>
      <c r="G30">
        <f t="shared" si="5"/>
        <v>35217.578511779931</v>
      </c>
      <c r="H30">
        <f t="shared" si="6"/>
        <v>421.91224657334453</v>
      </c>
      <c r="I30">
        <f t="shared" si="7"/>
        <v>5.3018146061566869</v>
      </c>
      <c r="J30">
        <f t="shared" si="8"/>
        <v>100.91047136282459</v>
      </c>
      <c r="K30">
        <f t="shared" si="9"/>
        <v>5.4998076827351527E-2</v>
      </c>
      <c r="L30" t="b">
        <f t="shared" si="10"/>
        <v>1</v>
      </c>
      <c r="N30">
        <f t="shared" si="11"/>
        <v>1.0999615365470306E-2</v>
      </c>
      <c r="P30">
        <v>0</v>
      </c>
      <c r="Q30">
        <v>1</v>
      </c>
      <c r="S30">
        <v>48227.7035737509</v>
      </c>
      <c r="T30">
        <v>7412.8436728446641</v>
      </c>
      <c r="U30">
        <v>55640.547246595561</v>
      </c>
      <c r="W30">
        <f t="shared" si="12"/>
        <v>0</v>
      </c>
      <c r="X30">
        <f t="shared" si="14"/>
        <v>0.86677263183643061</v>
      </c>
      <c r="Y30">
        <f t="shared" si="14"/>
        <v>0.13322736816356939</v>
      </c>
      <c r="AA30">
        <f t="shared" si="15"/>
        <v>48227.7035737509</v>
      </c>
      <c r="AB30">
        <f t="shared" si="16"/>
        <v>7412.8436728446641</v>
      </c>
      <c r="AD30">
        <f>PrivateCars.Cap!BB30</f>
        <v>4384490</v>
      </c>
      <c r="AH30">
        <f>PrivateCars.Cap!O30</f>
        <v>4439</v>
      </c>
      <c r="AI30">
        <f>PrivateCars.Cap!P30</f>
        <v>4328</v>
      </c>
      <c r="AJ30">
        <f>PrivateCars.Cap!Q30</f>
        <v>1123676</v>
      </c>
      <c r="AK30">
        <f>PrivateCars.Cap!R30</f>
        <v>2060</v>
      </c>
      <c r="AL30">
        <f>PrivateCars.Cap!S30</f>
        <v>259</v>
      </c>
      <c r="AM30">
        <f>PrivateCars.Cap!T30</f>
        <v>3201710</v>
      </c>
      <c r="AN30">
        <f>PrivateCars.Cap!U30</f>
        <v>38357</v>
      </c>
      <c r="AO30">
        <f>PrivateCars.Cap!V30</f>
        <v>482</v>
      </c>
      <c r="AP30">
        <f>PrivateCars.Cap!W30</f>
        <v>9174</v>
      </c>
      <c r="AQ30">
        <f>PrivateCars.Cap!X30</f>
        <v>5</v>
      </c>
    </row>
    <row r="31" spans="1:43" x14ac:dyDescent="0.2">
      <c r="A31" s="2">
        <v>2015</v>
      </c>
      <c r="B31">
        <f t="shared" si="0"/>
        <v>82.440812107069263</v>
      </c>
      <c r="C31">
        <f t="shared" si="1"/>
        <v>46.699310111373983</v>
      </c>
      <c r="D31">
        <f t="shared" si="2"/>
        <v>13290.310577465159</v>
      </c>
      <c r="E31">
        <f t="shared" si="3"/>
        <v>30.913936182494169</v>
      </c>
      <c r="F31">
        <f t="shared" si="4"/>
        <v>4.3677976405152883</v>
      </c>
      <c r="G31">
        <f t="shared" si="5"/>
        <v>34743.213930459307</v>
      </c>
      <c r="H31">
        <f t="shared" si="6"/>
        <v>475.04999099699614</v>
      </c>
      <c r="I31">
        <f t="shared" si="7"/>
        <v>20.678620909607467</v>
      </c>
      <c r="J31">
        <f t="shared" si="8"/>
        <v>108.13309547120305</v>
      </c>
      <c r="K31">
        <f t="shared" si="9"/>
        <v>5.4734306272121405E-2</v>
      </c>
      <c r="L31" t="b">
        <f t="shared" si="10"/>
        <v>1</v>
      </c>
      <c r="N31">
        <f t="shared" si="11"/>
        <v>1.0946861254424281E-2</v>
      </c>
      <c r="P31">
        <v>0</v>
      </c>
      <c r="Q31">
        <v>1</v>
      </c>
      <c r="S31">
        <v>48801.862805650002</v>
      </c>
      <c r="T31">
        <v>7818.1246810000002</v>
      </c>
      <c r="U31">
        <v>56619.987486650003</v>
      </c>
      <c r="W31">
        <f t="shared" si="12"/>
        <v>0</v>
      </c>
      <c r="X31">
        <f t="shared" si="14"/>
        <v>0.86191934989665309</v>
      </c>
      <c r="Y31">
        <f t="shared" si="14"/>
        <v>0.13808065010334691</v>
      </c>
      <c r="AA31">
        <f t="shared" si="15"/>
        <v>48801.862805650002</v>
      </c>
      <c r="AB31">
        <f t="shared" si="16"/>
        <v>7818.1246810000002</v>
      </c>
      <c r="AD31">
        <f>PrivateCars.Cap!BB31</f>
        <v>4458069</v>
      </c>
      <c r="AH31">
        <f>PrivateCars.Cap!O31</f>
        <v>7531</v>
      </c>
      <c r="AI31">
        <f>PrivateCars.Cap!P31</f>
        <v>4266</v>
      </c>
      <c r="AJ31">
        <f>PrivateCars.Cap!Q31</f>
        <v>1214075</v>
      </c>
      <c r="AK31">
        <f>PrivateCars.Cap!R31</f>
        <v>2824</v>
      </c>
      <c r="AL31">
        <f>PrivateCars.Cap!S31</f>
        <v>399</v>
      </c>
      <c r="AM31">
        <f>PrivateCars.Cap!T31</f>
        <v>3173806</v>
      </c>
      <c r="AN31">
        <f>PrivateCars.Cap!U31</f>
        <v>43396</v>
      </c>
      <c r="AO31">
        <f>PrivateCars.Cap!V31</f>
        <v>1889</v>
      </c>
      <c r="AP31">
        <f>PrivateCars.Cap!W31</f>
        <v>9878</v>
      </c>
      <c r="AQ31">
        <f>PrivateCars.Cap!X31</f>
        <v>5</v>
      </c>
    </row>
    <row r="32" spans="1:43" x14ac:dyDescent="0.2">
      <c r="A32" s="2">
        <v>2016</v>
      </c>
      <c r="B32">
        <f t="shared" si="0"/>
        <v>117.56173846630243</v>
      </c>
      <c r="C32">
        <f t="shared" si="1"/>
        <v>45.143532171226539</v>
      </c>
      <c r="D32">
        <f t="shared" si="2"/>
        <v>14158.055317906526</v>
      </c>
      <c r="E32">
        <f t="shared" si="3"/>
        <v>37.382089534697066</v>
      </c>
      <c r="F32">
        <f t="shared" si="4"/>
        <v>6.4020939261768577</v>
      </c>
      <c r="G32">
        <f t="shared" si="5"/>
        <v>34530.767914815646</v>
      </c>
      <c r="H32">
        <f t="shared" si="6"/>
        <v>540.52747468836014</v>
      </c>
      <c r="I32">
        <f t="shared" si="7"/>
        <v>45.3627819632189</v>
      </c>
      <c r="J32">
        <f t="shared" si="8"/>
        <v>113.25348005365259</v>
      </c>
      <c r="K32">
        <f t="shared" si="9"/>
        <v>0.16443734399426863</v>
      </c>
      <c r="L32" t="b">
        <f t="shared" si="10"/>
        <v>1</v>
      </c>
      <c r="N32">
        <f t="shared" si="11"/>
        <v>1.0962489599617906E-2</v>
      </c>
      <c r="P32">
        <v>0</v>
      </c>
      <c r="Q32">
        <v>1</v>
      </c>
      <c r="S32">
        <v>49594.6208608698</v>
      </c>
      <c r="T32">
        <v>8142.4806623650029</v>
      </c>
      <c r="U32">
        <v>57737.1015232348</v>
      </c>
      <c r="W32">
        <f t="shared" si="12"/>
        <v>0</v>
      </c>
      <c r="X32">
        <f t="shared" si="14"/>
        <v>0.85897316547682478</v>
      </c>
      <c r="Y32">
        <f t="shared" si="14"/>
        <v>0.14102683452317524</v>
      </c>
      <c r="AA32">
        <f t="shared" si="15"/>
        <v>49594.6208608698</v>
      </c>
      <c r="AB32">
        <f t="shared" si="16"/>
        <v>8142.4806623650029</v>
      </c>
      <c r="AD32">
        <f>PrivateCars.Cap!BB32</f>
        <v>4524029</v>
      </c>
      <c r="AH32">
        <f>PrivateCars.Cap!O32</f>
        <v>10724</v>
      </c>
      <c r="AI32">
        <f>PrivateCars.Cap!P32</f>
        <v>4118</v>
      </c>
      <c r="AJ32">
        <f>PrivateCars.Cap!Q32</f>
        <v>1291500</v>
      </c>
      <c r="AK32">
        <f>PrivateCars.Cap!R32</f>
        <v>3410</v>
      </c>
      <c r="AL32">
        <f>PrivateCars.Cap!S32</f>
        <v>584</v>
      </c>
      <c r="AM32">
        <f>PrivateCars.Cap!T32</f>
        <v>3149902</v>
      </c>
      <c r="AN32">
        <f>PrivateCars.Cap!U32</f>
        <v>49307</v>
      </c>
      <c r="AO32">
        <f>PrivateCars.Cap!V32</f>
        <v>4138</v>
      </c>
      <c r="AP32">
        <f>PrivateCars.Cap!W32</f>
        <v>10331</v>
      </c>
      <c r="AQ32">
        <f>PrivateCars.Cap!X32</f>
        <v>15</v>
      </c>
    </row>
    <row r="33" spans="1:43" x14ac:dyDescent="0.2">
      <c r="A33" s="2">
        <v>2017</v>
      </c>
      <c r="B33">
        <f t="shared" si="0"/>
        <v>159.89381432432168</v>
      </c>
      <c r="C33">
        <f t="shared" si="1"/>
        <v>43.572411606916738</v>
      </c>
      <c r="D33">
        <f t="shared" si="2"/>
        <v>14813.058290004346</v>
      </c>
      <c r="E33">
        <f t="shared" si="3"/>
        <v>38.96442562425694</v>
      </c>
      <c r="F33">
        <f t="shared" si="4"/>
        <v>7.5113470791327943</v>
      </c>
      <c r="G33">
        <f t="shared" si="5"/>
        <v>34389.685325667742</v>
      </c>
      <c r="H33">
        <f t="shared" si="6"/>
        <v>622.88093099256696</v>
      </c>
      <c r="I33">
        <f t="shared" si="7"/>
        <v>74.750550654268821</v>
      </c>
      <c r="J33">
        <f t="shared" si="8"/>
        <v>117.37717038884966</v>
      </c>
      <c r="K33">
        <f t="shared" si="9"/>
        <v>0.29693465759382937</v>
      </c>
      <c r="L33" t="b">
        <f t="shared" si="10"/>
        <v>1</v>
      </c>
      <c r="N33">
        <f>AA33/AD33</f>
        <v>1.0997579910882569E-2</v>
      </c>
      <c r="P33">
        <v>0</v>
      </c>
      <c r="Q33">
        <v>1</v>
      </c>
      <c r="S33">
        <v>50267.991200999997</v>
      </c>
      <c r="T33">
        <v>8466.8237790000003</v>
      </c>
      <c r="U33">
        <v>58734.814979999996</v>
      </c>
      <c r="W33">
        <f t="shared" si="12"/>
        <v>0</v>
      </c>
      <c r="X33">
        <f t="shared" si="14"/>
        <v>0.85584659146567388</v>
      </c>
      <c r="Y33">
        <f t="shared" si="14"/>
        <v>0.14415340853432618</v>
      </c>
      <c r="AA33">
        <f t="shared" si="15"/>
        <v>50267.991200999997</v>
      </c>
      <c r="AB33">
        <f t="shared" si="16"/>
        <v>8466.8237790000003</v>
      </c>
      <c r="AD33">
        <f>PrivateCars.Cap!BB33</f>
        <v>4570823</v>
      </c>
      <c r="AH33">
        <f>PrivateCars.Cap!O33</f>
        <v>14539</v>
      </c>
      <c r="AI33">
        <f>PrivateCars.Cap!P33</f>
        <v>3962</v>
      </c>
      <c r="AJ33">
        <f>PrivateCars.Cap!Q33</f>
        <v>1346938</v>
      </c>
      <c r="AK33">
        <f>PrivateCars.Cap!R33</f>
        <v>3543</v>
      </c>
      <c r="AL33">
        <f>PrivateCars.Cap!S33</f>
        <v>683</v>
      </c>
      <c r="AM33">
        <f>PrivateCars.Cap!T33</f>
        <v>3127023</v>
      </c>
      <c r="AN33">
        <f>PrivateCars.Cap!U33</f>
        <v>56638</v>
      </c>
      <c r="AO33">
        <f>PrivateCars.Cap!V33</f>
        <v>6797</v>
      </c>
      <c r="AP33">
        <f>PrivateCars.Cap!W33</f>
        <v>10673</v>
      </c>
      <c r="AQ33">
        <f>PrivateCars.Cap!X33</f>
        <v>27</v>
      </c>
    </row>
    <row r="34" spans="1:43" x14ac:dyDescent="0.2">
      <c r="A34" s="2">
        <v>2018</v>
      </c>
      <c r="B34">
        <f t="shared" si="0"/>
        <v>210.67209141220093</v>
      </c>
      <c r="C34">
        <f t="shared" si="1"/>
        <v>40.94601724543481</v>
      </c>
      <c r="D34">
        <f t="shared" si="2"/>
        <v>15093.857407583102</v>
      </c>
      <c r="E34">
        <f t="shared" si="3"/>
        <v>42.571556556680612</v>
      </c>
      <c r="F34">
        <f t="shared" si="4"/>
        <v>8.5670315052143646</v>
      </c>
      <c r="G34">
        <f t="shared" si="5"/>
        <v>34210.188724460022</v>
      </c>
      <c r="H34">
        <f t="shared" si="6"/>
        <v>710.73411372105329</v>
      </c>
      <c r="I34">
        <f t="shared" si="7"/>
        <v>113.91955227190178</v>
      </c>
      <c r="J34">
        <f t="shared" si="8"/>
        <v>121.23447917250789</v>
      </c>
      <c r="K34">
        <f t="shared" si="9"/>
        <v>0.35146795918828161</v>
      </c>
      <c r="L34" t="b">
        <f t="shared" si="10"/>
        <v>1</v>
      </c>
      <c r="N34">
        <f t="shared" si="11"/>
        <v>1.09833737246338E-2</v>
      </c>
      <c r="P34">
        <v>0</v>
      </c>
      <c r="Q34">
        <v>1</v>
      </c>
      <c r="S34">
        <v>50553.042441887301</v>
      </c>
      <c r="T34">
        <v>8791.1668961592586</v>
      </c>
      <c r="U34">
        <v>59344.209338046559</v>
      </c>
      <c r="W34">
        <f t="shared" si="12"/>
        <v>0</v>
      </c>
      <c r="X34">
        <f t="shared" si="14"/>
        <v>0.85186142010787402</v>
      </c>
      <c r="Y34">
        <f t="shared" si="14"/>
        <v>0.14813857989212598</v>
      </c>
      <c r="AA34">
        <f t="shared" si="15"/>
        <v>50553.042441887301</v>
      </c>
      <c r="AB34">
        <f t="shared" si="16"/>
        <v>8791.1668961592586</v>
      </c>
      <c r="AD34">
        <f>PrivateCars.Cap!BB34</f>
        <v>4602688</v>
      </c>
      <c r="AH34">
        <f>PrivateCars.Cap!O34</f>
        <v>19181</v>
      </c>
      <c r="AI34">
        <f>PrivateCars.Cap!P34</f>
        <v>3728</v>
      </c>
      <c r="AJ34">
        <f>PrivateCars.Cap!Q34</f>
        <v>1374246</v>
      </c>
      <c r="AK34">
        <f>PrivateCars.Cap!R34</f>
        <v>3876</v>
      </c>
      <c r="AL34">
        <f>PrivateCars.Cap!S34</f>
        <v>780</v>
      </c>
      <c r="AM34">
        <f>PrivateCars.Cap!T34</f>
        <v>3114725</v>
      </c>
      <c r="AN34">
        <f>PrivateCars.Cap!U34</f>
        <v>64710</v>
      </c>
      <c r="AO34">
        <f>PrivateCars.Cap!V34</f>
        <v>10372</v>
      </c>
      <c r="AP34">
        <f>PrivateCars.Cap!W34</f>
        <v>11038</v>
      </c>
      <c r="AQ34">
        <f>PrivateCars.Cap!X34</f>
        <v>32</v>
      </c>
    </row>
    <row r="35" spans="1:43" x14ac:dyDescent="0.2">
      <c r="A35" s="2">
        <v>2019</v>
      </c>
      <c r="B35">
        <f t="shared" si="0"/>
        <v>314.96851894351244</v>
      </c>
      <c r="C35">
        <f t="shared" si="1"/>
        <v>38.246804065887581</v>
      </c>
      <c r="D35">
        <f t="shared" si="2"/>
        <v>15165.400747828833</v>
      </c>
      <c r="E35">
        <f t="shared" si="3"/>
        <v>69.506738561952858</v>
      </c>
      <c r="F35">
        <f t="shared" si="4"/>
        <v>8.6101924840039441</v>
      </c>
      <c r="G35">
        <f t="shared" si="5"/>
        <v>33995.913647141591</v>
      </c>
      <c r="H35">
        <f t="shared" si="6"/>
        <v>850.88444858482796</v>
      </c>
      <c r="I35">
        <f t="shared" si="7"/>
        <v>150.27802194055801</v>
      </c>
      <c r="J35">
        <f t="shared" si="8"/>
        <v>122.92283715698369</v>
      </c>
      <c r="K35">
        <f t="shared" si="9"/>
        <v>0.61423029185251066</v>
      </c>
      <c r="L35" t="b">
        <f t="shared" si="10"/>
        <v>1</v>
      </c>
      <c r="N35">
        <f t="shared" si="11"/>
        <v>1.0968398068794832E-2</v>
      </c>
      <c r="P35">
        <v>0</v>
      </c>
      <c r="Q35">
        <v>1</v>
      </c>
      <c r="S35">
        <v>50717.346187000003</v>
      </c>
      <c r="T35">
        <v>9115.5100129999992</v>
      </c>
      <c r="U35">
        <v>59832.856200000002</v>
      </c>
      <c r="W35">
        <f t="shared" si="12"/>
        <v>0</v>
      </c>
      <c r="X35">
        <f t="shared" si="14"/>
        <v>0.84765042834441862</v>
      </c>
      <c r="Y35">
        <f t="shared" si="14"/>
        <v>0.15234957165558141</v>
      </c>
      <c r="AA35">
        <f t="shared" si="15"/>
        <v>50717.346187000003</v>
      </c>
      <c r="AB35">
        <f t="shared" si="16"/>
        <v>9115.5100129999992</v>
      </c>
      <c r="AD35">
        <f>PrivateCars.Cap!BB35</f>
        <v>4623952</v>
      </c>
      <c r="AH35">
        <f>PrivateCars.Cap!O35</f>
        <v>28716</v>
      </c>
      <c r="AI35">
        <f>PrivateCars.Cap!P35</f>
        <v>3487</v>
      </c>
      <c r="AJ35">
        <f>PrivateCars.Cap!Q35</f>
        <v>1382645</v>
      </c>
      <c r="AK35">
        <f>PrivateCars.Cap!R35</f>
        <v>6337</v>
      </c>
      <c r="AL35">
        <f>PrivateCars.Cap!S35</f>
        <v>785</v>
      </c>
      <c r="AM35">
        <f>PrivateCars.Cap!T35</f>
        <v>3099442</v>
      </c>
      <c r="AN35">
        <f>PrivateCars.Cap!U35</f>
        <v>77576</v>
      </c>
      <c r="AO35">
        <f>PrivateCars.Cap!V35</f>
        <v>13701</v>
      </c>
      <c r="AP35">
        <f>PrivateCars.Cap!W35</f>
        <v>11207</v>
      </c>
      <c r="AQ35">
        <f>PrivateCars.Cap!X35</f>
        <v>56</v>
      </c>
    </row>
    <row r="36" spans="1:43" x14ac:dyDescent="0.2">
      <c r="A36" s="2">
        <v>2020</v>
      </c>
      <c r="B36">
        <f t="shared" si="0"/>
        <v>435.48817169452298</v>
      </c>
      <c r="C36">
        <f t="shared" si="1"/>
        <v>32.795081230936056</v>
      </c>
      <c r="D36">
        <f t="shared" si="2"/>
        <v>13839.333610378093</v>
      </c>
      <c r="E36">
        <f t="shared" si="3"/>
        <v>110.66834633254678</v>
      </c>
      <c r="F36">
        <f t="shared" si="4"/>
        <v>8.3894393846580613</v>
      </c>
      <c r="G36">
        <f t="shared" si="5"/>
        <v>30982.621126554372</v>
      </c>
      <c r="H36">
        <f t="shared" si="6"/>
        <v>992.40243974593909</v>
      </c>
      <c r="I36">
        <f t="shared" si="7"/>
        <v>230.32824492424859</v>
      </c>
      <c r="J36">
        <f t="shared" si="8"/>
        <v>114.53190394390246</v>
      </c>
      <c r="K36">
        <f t="shared" si="9"/>
        <v>0.83292280972083621</v>
      </c>
      <c r="L36" t="b">
        <f t="shared" si="10"/>
        <v>1</v>
      </c>
      <c r="N36">
        <f t="shared" si="11"/>
        <v>1.0035214574949835E-2</v>
      </c>
      <c r="P36">
        <v>0</v>
      </c>
      <c r="Q36">
        <v>1</v>
      </c>
      <c r="S36">
        <v>46747.391286998936</v>
      </c>
      <c r="T36">
        <v>6623.5164434010658</v>
      </c>
      <c r="U36">
        <v>53370.907730440973</v>
      </c>
      <c r="W36">
        <f t="shared" si="12"/>
        <v>-7.6771922152829575E-13</v>
      </c>
      <c r="X36">
        <f t="shared" si="14"/>
        <v>0.87589650007717001</v>
      </c>
      <c r="Y36">
        <f t="shared" si="14"/>
        <v>0.12410349992283004</v>
      </c>
      <c r="AA36">
        <f t="shared" si="15"/>
        <v>46747.391286998936</v>
      </c>
      <c r="AB36">
        <f t="shared" si="16"/>
        <v>6623.5164434010658</v>
      </c>
      <c r="AD36">
        <f>PrivateCars.Cap!BB36</f>
        <v>4658335</v>
      </c>
      <c r="AH36">
        <f>PrivateCars.Cap!O36</f>
        <v>43396</v>
      </c>
      <c r="AI36">
        <f>PrivateCars.Cap!P36</f>
        <v>3268</v>
      </c>
      <c r="AJ36">
        <f>PrivateCars.Cap!Q36</f>
        <v>1379077</v>
      </c>
      <c r="AK36">
        <f>PrivateCars.Cap!R36</f>
        <v>11028</v>
      </c>
      <c r="AL36">
        <f>PrivateCars.Cap!S36</f>
        <v>836</v>
      </c>
      <c r="AM36">
        <f>PrivateCars.Cap!T36</f>
        <v>3087390</v>
      </c>
      <c r="AN36">
        <f>PrivateCars.Cap!U36</f>
        <v>98892</v>
      </c>
      <c r="AO36">
        <f>PrivateCars.Cap!V36</f>
        <v>22952</v>
      </c>
      <c r="AP36">
        <f>PrivateCars.Cap!W36</f>
        <v>11413</v>
      </c>
      <c r="AQ36">
        <f>PrivateCars.Cap!X36</f>
        <v>83</v>
      </c>
    </row>
    <row r="37" spans="1:43" x14ac:dyDescent="0.2">
      <c r="A37" s="2">
        <v>2021</v>
      </c>
      <c r="B37">
        <f t="shared" si="0"/>
        <v>746.89681384108633</v>
      </c>
      <c r="C37">
        <f t="shared" si="1"/>
        <v>54.160097844537532</v>
      </c>
      <c r="D37">
        <f t="shared" si="2"/>
        <v>14168.829551727598</v>
      </c>
      <c r="E37">
        <f t="shared" si="3"/>
        <v>217.05708764931413</v>
      </c>
      <c r="F37">
        <f t="shared" si="4"/>
        <v>14.188508033133317</v>
      </c>
      <c r="G37">
        <f t="shared" si="5"/>
        <v>31822.812958809664</v>
      </c>
      <c r="H37">
        <f t="shared" si="6"/>
        <v>1468.0834677513553</v>
      </c>
      <c r="I37">
        <f t="shared" si="7"/>
        <v>451.45915758582862</v>
      </c>
      <c r="J37">
        <f t="shared" si="8"/>
        <v>114.289369773499</v>
      </c>
      <c r="K37">
        <f t="shared" si="9"/>
        <v>1.6042806439813002</v>
      </c>
      <c r="L37" t="b">
        <f t="shared" si="10"/>
        <v>1</v>
      </c>
      <c r="N37">
        <f t="shared" si="11"/>
        <v>1.0417406779099352E-2</v>
      </c>
      <c r="P37">
        <v>0</v>
      </c>
      <c r="Q37">
        <v>1</v>
      </c>
      <c r="S37">
        <v>49059.381293660001</v>
      </c>
      <c r="T37">
        <v>7602.3335277870247</v>
      </c>
      <c r="U37">
        <v>56661.714821447022</v>
      </c>
      <c r="W37">
        <f t="shared" si="12"/>
        <v>0</v>
      </c>
      <c r="X37">
        <f t="shared" si="14"/>
        <v>0.86582944847780252</v>
      </c>
      <c r="Y37">
        <f t="shared" si="14"/>
        <v>0.13417055152219759</v>
      </c>
      <c r="AA37">
        <f t="shared" si="15"/>
        <v>49059.381293660001</v>
      </c>
      <c r="AB37">
        <f t="shared" si="16"/>
        <v>7602.3335277870247</v>
      </c>
      <c r="AD37">
        <f>PrivateCars.Cap!BB37</f>
        <v>4709366</v>
      </c>
      <c r="AH37">
        <f>PrivateCars.Cap!O37</f>
        <v>71697</v>
      </c>
      <c r="AI37">
        <f>PrivateCars.Cap!P37</f>
        <v>5199</v>
      </c>
      <c r="AJ37">
        <f>PrivateCars.Cap!Q37</f>
        <v>1360111</v>
      </c>
      <c r="AK37">
        <f>PrivateCars.Cap!R37</f>
        <v>20836</v>
      </c>
      <c r="AL37">
        <f>PrivateCars.Cap!S37</f>
        <v>1362</v>
      </c>
      <c r="AM37">
        <f>PrivateCars.Cap!T37</f>
        <v>3054773</v>
      </c>
      <c r="AN37">
        <f>PrivateCars.Cap!U37</f>
        <v>140926</v>
      </c>
      <c r="AO37">
        <f>PrivateCars.Cap!V37</f>
        <v>43337</v>
      </c>
      <c r="AP37">
        <f>PrivateCars.Cap!W37</f>
        <v>10971</v>
      </c>
      <c r="AQ37">
        <f>PrivateCars.Cap!X37</f>
        <v>154</v>
      </c>
    </row>
    <row r="38" spans="1:43" x14ac:dyDescent="0.2">
      <c r="A38" s="2">
        <v>2022</v>
      </c>
      <c r="AH38">
        <f>PrivateCars.Cap!O38</f>
        <v>0</v>
      </c>
      <c r="AI38">
        <f>PrivateCars.Cap!P38</f>
        <v>0</v>
      </c>
      <c r="AJ38">
        <f>PrivateCars.Cap!Q38</f>
        <v>0</v>
      </c>
      <c r="AK38">
        <f>PrivateCars.Cap!R38</f>
        <v>0</v>
      </c>
      <c r="AL38">
        <f>PrivateCars.Cap!S38</f>
        <v>0</v>
      </c>
      <c r="AM38">
        <f>PrivateCars.Cap!T38</f>
        <v>0</v>
      </c>
      <c r="AN38">
        <f>PrivateCars.Cap!U38</f>
        <v>0</v>
      </c>
      <c r="AO38">
        <f>PrivateCars.Cap!V38</f>
        <v>0</v>
      </c>
      <c r="AP38">
        <f>PrivateCars.Cap!W38</f>
        <v>0</v>
      </c>
      <c r="AQ38">
        <f>PrivateCars.Cap!X38</f>
        <v>0</v>
      </c>
    </row>
    <row r="39" spans="1:43" x14ac:dyDescent="0.2">
      <c r="A39" s="4"/>
    </row>
    <row r="40" spans="1:43" x14ac:dyDescent="0.2">
      <c r="A40" s="2" t="s">
        <v>40</v>
      </c>
      <c r="N40">
        <f>AVERAGE(N6:N37)</f>
        <v>1.1307368766878999E-2</v>
      </c>
      <c r="X40">
        <f>AVERAGE(X6:X37)</f>
        <v>0.88279525971157147</v>
      </c>
      <c r="Y40">
        <f>AVERAGE(Y6:Y37)</f>
        <v>0.11720474028842864</v>
      </c>
    </row>
    <row r="42" spans="1:43" x14ac:dyDescent="0.2">
      <c r="A42" s="2" t="s">
        <v>85</v>
      </c>
      <c r="N42">
        <f>_xlfn.VAR.S(N6:N37)</f>
        <v>2.7204110450039104E-7</v>
      </c>
      <c r="X42">
        <f>_xlfn.VAR.S(X6:X37)</f>
        <v>3.0302713261670254E-4</v>
      </c>
      <c r="Y42">
        <f>_xlfn.VAR.S(Y6:Y37)</f>
        <v>3.0302713261669636E-4</v>
      </c>
    </row>
    <row r="43" spans="1:43" x14ac:dyDescent="0.2">
      <c r="A43" s="2" t="s">
        <v>86</v>
      </c>
      <c r="N43">
        <f>STDEV(N6:N37)</f>
        <v>5.2157559806838261E-4</v>
      </c>
      <c r="X43">
        <f>STDEV(X6:X37)</f>
        <v>1.740767453213388E-2</v>
      </c>
      <c r="Y43">
        <f>STDEV(Y6:Y37)</f>
        <v>1.7407674532133703E-2</v>
      </c>
    </row>
    <row r="44" spans="1:43" x14ac:dyDescent="0.2">
      <c r="A44" s="2" t="s">
        <v>95</v>
      </c>
      <c r="N44">
        <f>N43/N40</f>
        <v>4.6127052970639529E-2</v>
      </c>
      <c r="X44">
        <f>X43/X40</f>
        <v>1.9718812873804226E-2</v>
      </c>
      <c r="Y44">
        <f>Y43/Y40</f>
        <v>0.14852363896968016</v>
      </c>
    </row>
    <row r="45" spans="1:43" x14ac:dyDescent="0.2">
      <c r="A45" s="2" t="s">
        <v>96</v>
      </c>
      <c r="N45">
        <f>AVEDEV(N6:N38)</f>
        <v>3.4056565027386885E-4</v>
      </c>
    </row>
    <row r="46" spans="1:43" x14ac:dyDescent="0.2">
      <c r="A46" s="2" t="s">
        <v>97</v>
      </c>
      <c r="N46">
        <f>N45/N40</f>
        <v>3.0118912480455874E-2</v>
      </c>
    </row>
    <row r="48" spans="1:43" x14ac:dyDescent="0.2">
      <c r="A48" s="2" t="s">
        <v>6</v>
      </c>
      <c r="S48" t="s">
        <v>50</v>
      </c>
      <c r="AA48" t="s">
        <v>29</v>
      </c>
      <c r="AD48" t="s">
        <v>110</v>
      </c>
      <c r="AH48" t="s">
        <v>110</v>
      </c>
    </row>
    <row r="49" spans="1:1" x14ac:dyDescent="0.2">
      <c r="A49" s="2" t="s">
        <v>7</v>
      </c>
    </row>
  </sheetData>
  <mergeCells count="7">
    <mergeCell ref="S1:AP1"/>
    <mergeCell ref="S2:U2"/>
    <mergeCell ref="AA2:AB2"/>
    <mergeCell ref="AH2:AO2"/>
    <mergeCell ref="B2:I2"/>
    <mergeCell ref="B1:I1"/>
    <mergeCell ref="P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FAC4-1806-6F46-B539-D1224083B205}">
  <dimension ref="A1:BI69"/>
  <sheetViews>
    <sheetView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BE45" sqref="BE45"/>
    </sheetView>
  </sheetViews>
  <sheetFormatPr baseColWidth="10" defaultRowHeight="16" x14ac:dyDescent="0.2"/>
  <cols>
    <col min="1" max="1" width="10.83203125" style="2"/>
    <col min="12" max="12" width="10.83203125" style="6"/>
    <col min="15" max="15" width="12.1640625" bestFit="1" customWidth="1"/>
    <col min="16" max="16" width="11.1640625" bestFit="1" customWidth="1"/>
    <col min="18" max="18" width="12.1640625" bestFit="1" customWidth="1"/>
    <col min="19" max="19" width="11.1640625" bestFit="1" customWidth="1"/>
    <col min="23" max="23" width="10.83203125" style="7"/>
    <col min="34" max="34" width="10.83203125" style="7"/>
    <col min="35" max="55" width="10.83203125" style="2"/>
    <col min="61" max="61" width="10.83203125" style="2"/>
  </cols>
  <sheetData>
    <row r="1" spans="1:61" s="1" customFormat="1" ht="56" customHeight="1" x14ac:dyDescent="0.2">
      <c r="B1" s="66" t="s">
        <v>130</v>
      </c>
      <c r="C1" s="66"/>
      <c r="D1" s="66"/>
      <c r="E1" s="66"/>
      <c r="F1" s="66"/>
      <c r="G1" s="66"/>
      <c r="H1" s="66"/>
      <c r="I1" s="66"/>
      <c r="J1" s="66"/>
      <c r="K1" s="66"/>
      <c r="L1" s="12"/>
      <c r="M1" s="66" t="s">
        <v>126</v>
      </c>
      <c r="N1" s="66"/>
      <c r="O1" s="66"/>
      <c r="P1" s="66"/>
      <c r="Q1" s="66"/>
      <c r="R1" s="66"/>
      <c r="S1" s="66"/>
      <c r="T1" s="66"/>
      <c r="U1" s="66"/>
      <c r="V1" s="66"/>
      <c r="W1" s="12"/>
      <c r="X1" s="66" t="s">
        <v>164</v>
      </c>
      <c r="Y1" s="66"/>
      <c r="Z1" s="66"/>
      <c r="AA1" s="66"/>
      <c r="AB1" s="66"/>
      <c r="AC1" s="66"/>
      <c r="AD1" s="66"/>
      <c r="AE1" s="66"/>
      <c r="AF1" s="66"/>
      <c r="AG1" s="66"/>
      <c r="AH1" s="12"/>
      <c r="AI1" s="68" t="s">
        <v>167</v>
      </c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V1" s="68" t="s">
        <v>168</v>
      </c>
      <c r="AW1" s="68"/>
      <c r="AX1" s="68"/>
      <c r="AY1" s="68"/>
      <c r="AZ1" s="68"/>
      <c r="BA1" s="68"/>
      <c r="BB1" s="68"/>
      <c r="BC1" s="68"/>
      <c r="BE1" s="71" t="s">
        <v>155</v>
      </c>
      <c r="BF1" s="72"/>
      <c r="BG1" s="72"/>
      <c r="BH1" s="15"/>
    </row>
    <row r="2" spans="1:61" s="15" customFormat="1" ht="34" customHeight="1" x14ac:dyDescent="0.2">
      <c r="B2" s="56" t="s">
        <v>26</v>
      </c>
      <c r="C2" s="56"/>
      <c r="D2" s="56"/>
      <c r="E2" s="56"/>
      <c r="F2" s="56"/>
      <c r="G2" s="56"/>
      <c r="H2" s="56"/>
      <c r="I2" s="56"/>
      <c r="J2" s="56"/>
      <c r="K2" s="56"/>
      <c r="L2" s="19"/>
      <c r="M2" s="67" t="s">
        <v>98</v>
      </c>
      <c r="N2" s="67"/>
      <c r="O2" s="67"/>
      <c r="P2" s="67"/>
      <c r="Q2" s="67"/>
      <c r="R2" s="67"/>
      <c r="S2" s="67"/>
      <c r="T2" s="67"/>
      <c r="U2" s="67"/>
      <c r="V2" s="67"/>
      <c r="W2" s="19"/>
      <c r="X2" s="67" t="s">
        <v>98</v>
      </c>
      <c r="Y2" s="67"/>
      <c r="Z2" s="67"/>
      <c r="AA2" s="67"/>
      <c r="AB2" s="67"/>
      <c r="AC2" s="67"/>
      <c r="AD2" s="67"/>
      <c r="AE2" s="67"/>
      <c r="AF2" s="67"/>
      <c r="AG2" s="67"/>
      <c r="AH2" s="19"/>
      <c r="AI2" s="67" t="s">
        <v>146</v>
      </c>
      <c r="AJ2" s="67"/>
      <c r="AK2" s="67"/>
      <c r="AL2" s="67" t="s">
        <v>145</v>
      </c>
      <c r="AM2" s="67"/>
      <c r="AN2" s="67"/>
      <c r="AO2" s="67" t="s">
        <v>147</v>
      </c>
      <c r="AP2" s="67"/>
      <c r="AQ2" s="67"/>
      <c r="AR2" s="67" t="s">
        <v>157</v>
      </c>
      <c r="AS2" s="67"/>
      <c r="AT2" s="67"/>
      <c r="AV2" s="67" t="s">
        <v>160</v>
      </c>
      <c r="AW2" s="67"/>
      <c r="AX2" s="67" t="s">
        <v>160</v>
      </c>
      <c r="AY2" s="67"/>
      <c r="AZ2" s="67" t="s">
        <v>134</v>
      </c>
      <c r="BA2" s="67"/>
      <c r="BB2" s="67" t="s">
        <v>163</v>
      </c>
      <c r="BC2" s="67"/>
      <c r="BD2" s="1"/>
      <c r="BE2" s="73" t="s">
        <v>156</v>
      </c>
      <c r="BF2" s="73"/>
      <c r="BG2" s="73"/>
      <c r="BI2" s="15" t="s">
        <v>131</v>
      </c>
    </row>
    <row r="3" spans="1:61" s="1" customFormat="1" x14ac:dyDescent="0.2">
      <c r="A3" s="1" t="s">
        <v>52</v>
      </c>
      <c r="B3" s="1" t="s">
        <v>37</v>
      </c>
      <c r="C3" s="1" t="s">
        <v>34</v>
      </c>
      <c r="D3" s="1" t="s">
        <v>14</v>
      </c>
      <c r="E3" s="1" t="s">
        <v>14</v>
      </c>
      <c r="F3" s="1" t="s">
        <v>53</v>
      </c>
      <c r="G3" s="1" t="s">
        <v>54</v>
      </c>
      <c r="H3" s="1" t="s">
        <v>54</v>
      </c>
      <c r="I3" s="1" t="s">
        <v>54</v>
      </c>
      <c r="J3" s="1" t="s">
        <v>55</v>
      </c>
      <c r="K3" s="1" t="s">
        <v>56</v>
      </c>
      <c r="L3" s="12"/>
      <c r="M3" s="1" t="s">
        <v>37</v>
      </c>
      <c r="N3" s="1" t="s">
        <v>34</v>
      </c>
      <c r="O3" s="1" t="s">
        <v>14</v>
      </c>
      <c r="P3" s="1" t="s">
        <v>14</v>
      </c>
      <c r="Q3" s="1" t="s">
        <v>53</v>
      </c>
      <c r="R3" s="1" t="s">
        <v>54</v>
      </c>
      <c r="S3" s="1" t="s">
        <v>54</v>
      </c>
      <c r="T3" s="1" t="s">
        <v>54</v>
      </c>
      <c r="U3" s="1" t="s">
        <v>55</v>
      </c>
      <c r="V3" s="1" t="s">
        <v>56</v>
      </c>
      <c r="W3" s="12"/>
      <c r="X3" s="1" t="s">
        <v>37</v>
      </c>
      <c r="Y3" s="1" t="s">
        <v>34</v>
      </c>
      <c r="Z3" s="1" t="s">
        <v>14</v>
      </c>
      <c r="AA3" s="1" t="s">
        <v>14</v>
      </c>
      <c r="AB3" s="1" t="s">
        <v>53</v>
      </c>
      <c r="AC3" s="1" t="s">
        <v>54</v>
      </c>
      <c r="AD3" s="1" t="s">
        <v>54</v>
      </c>
      <c r="AE3" s="1" t="s">
        <v>54</v>
      </c>
      <c r="AF3" s="1" t="s">
        <v>55</v>
      </c>
      <c r="AG3" s="1" t="s">
        <v>56</v>
      </c>
      <c r="AH3" s="12"/>
      <c r="AI3" s="1" t="s">
        <v>58</v>
      </c>
      <c r="AJ3" s="1" t="s">
        <v>58</v>
      </c>
      <c r="AK3" s="1" t="s">
        <v>58</v>
      </c>
      <c r="AL3" s="1" t="s">
        <v>58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58</v>
      </c>
      <c r="AS3" s="1" t="s">
        <v>58</v>
      </c>
      <c r="AT3" s="1" t="s">
        <v>58</v>
      </c>
      <c r="AV3" s="1" t="s">
        <v>58</v>
      </c>
      <c r="AW3" s="1" t="s">
        <v>58</v>
      </c>
      <c r="AX3" s="1" t="s">
        <v>37</v>
      </c>
      <c r="AY3" s="1" t="s">
        <v>58</v>
      </c>
      <c r="AZ3" s="1" t="s">
        <v>37</v>
      </c>
      <c r="BA3" s="1" t="s">
        <v>58</v>
      </c>
      <c r="BB3" s="1" t="s">
        <v>37</v>
      </c>
      <c r="BC3" s="1" t="s">
        <v>58</v>
      </c>
      <c r="BE3" s="1" t="s">
        <v>14</v>
      </c>
      <c r="BF3" s="1" t="s">
        <v>54</v>
      </c>
      <c r="BG3" s="1" t="s">
        <v>37</v>
      </c>
      <c r="BI3" s="1" t="s">
        <v>58</v>
      </c>
    </row>
    <row r="4" spans="1:61" s="1" customFormat="1" x14ac:dyDescent="0.2">
      <c r="A4" s="1" t="s">
        <v>51</v>
      </c>
      <c r="B4" s="1" t="s">
        <v>13</v>
      </c>
      <c r="C4" s="1" t="s">
        <v>16</v>
      </c>
      <c r="D4" s="1" t="s">
        <v>10</v>
      </c>
      <c r="E4" s="1" t="s">
        <v>21</v>
      </c>
      <c r="F4" s="1" t="s">
        <v>12</v>
      </c>
      <c r="G4" s="1" t="s">
        <v>9</v>
      </c>
      <c r="H4" s="1" t="s">
        <v>22</v>
      </c>
      <c r="I4" s="1" t="s">
        <v>11</v>
      </c>
      <c r="J4" s="1" t="s">
        <v>23</v>
      </c>
      <c r="K4" s="1" t="s">
        <v>24</v>
      </c>
      <c r="L4" s="12"/>
      <c r="M4" s="1" t="s">
        <v>13</v>
      </c>
      <c r="N4" s="1" t="s">
        <v>16</v>
      </c>
      <c r="O4" s="1" t="s">
        <v>10</v>
      </c>
      <c r="P4" s="1" t="s">
        <v>21</v>
      </c>
      <c r="Q4" s="1" t="s">
        <v>12</v>
      </c>
      <c r="R4" s="1" t="s">
        <v>9</v>
      </c>
      <c r="S4" s="1" t="s">
        <v>22</v>
      </c>
      <c r="T4" s="1" t="s">
        <v>11</v>
      </c>
      <c r="U4" s="1" t="s">
        <v>23</v>
      </c>
      <c r="V4" s="1" t="s">
        <v>24</v>
      </c>
      <c r="W4" s="12"/>
      <c r="X4" s="1" t="s">
        <v>13</v>
      </c>
      <c r="Y4" s="1" t="s">
        <v>16</v>
      </c>
      <c r="Z4" s="1" t="s">
        <v>10</v>
      </c>
      <c r="AA4" s="1" t="s">
        <v>21</v>
      </c>
      <c r="AB4" s="1" t="s">
        <v>12</v>
      </c>
      <c r="AC4" s="1" t="s">
        <v>9</v>
      </c>
      <c r="AD4" s="1" t="s">
        <v>22</v>
      </c>
      <c r="AE4" s="1" t="s">
        <v>11</v>
      </c>
      <c r="AF4" s="1" t="s">
        <v>23</v>
      </c>
      <c r="AG4" s="1" t="s">
        <v>24</v>
      </c>
      <c r="AH4" s="12"/>
      <c r="AI4" s="1" t="s">
        <v>143</v>
      </c>
      <c r="AJ4" s="1" t="s">
        <v>144</v>
      </c>
      <c r="AK4" s="1" t="s">
        <v>151</v>
      </c>
      <c r="AL4" s="1" t="s">
        <v>141</v>
      </c>
      <c r="AM4" s="1" t="s">
        <v>142</v>
      </c>
      <c r="AN4" s="1" t="s">
        <v>152</v>
      </c>
      <c r="AO4" s="1" t="s">
        <v>141</v>
      </c>
      <c r="AP4" s="1" t="s">
        <v>142</v>
      </c>
      <c r="AQ4" s="1" t="s">
        <v>152</v>
      </c>
      <c r="AR4" s="1" t="s">
        <v>141</v>
      </c>
      <c r="AS4" s="1" t="s">
        <v>142</v>
      </c>
      <c r="AT4" s="1" t="s">
        <v>152</v>
      </c>
      <c r="AV4" s="1" t="s">
        <v>161</v>
      </c>
      <c r="AW4" s="1" t="s">
        <v>162</v>
      </c>
      <c r="AX4" s="1" t="s">
        <v>13</v>
      </c>
      <c r="AY4" s="1" t="s">
        <v>132</v>
      </c>
      <c r="AZ4" s="1" t="s">
        <v>13</v>
      </c>
      <c r="BA4" s="1" t="s">
        <v>132</v>
      </c>
      <c r="BB4" s="1" t="s">
        <v>13</v>
      </c>
      <c r="BC4" s="1" t="s">
        <v>132</v>
      </c>
      <c r="BE4" s="1" t="s">
        <v>10</v>
      </c>
      <c r="BF4" s="1" t="s">
        <v>136</v>
      </c>
      <c r="BG4" s="1" t="s">
        <v>13</v>
      </c>
      <c r="BI4" s="1" t="s">
        <v>127</v>
      </c>
    </row>
    <row r="5" spans="1:61" s="15" customFormat="1" ht="34" x14ac:dyDescent="0.2">
      <c r="A5" s="15" t="s">
        <v>90</v>
      </c>
      <c r="B5" s="1"/>
      <c r="C5" s="1"/>
      <c r="D5" s="1"/>
      <c r="E5" s="1"/>
      <c r="F5" s="1"/>
      <c r="G5" s="1"/>
      <c r="H5" s="1"/>
      <c r="I5" s="1"/>
      <c r="J5" s="1"/>
      <c r="K5" s="1"/>
      <c r="L5" s="19"/>
      <c r="M5" s="15" t="s">
        <v>128</v>
      </c>
      <c r="N5" s="15" t="s">
        <v>128</v>
      </c>
      <c r="O5" s="15" t="s">
        <v>128</v>
      </c>
      <c r="P5" s="15" t="s">
        <v>128</v>
      </c>
      <c r="Q5" s="15" t="s">
        <v>128</v>
      </c>
      <c r="R5" s="15" t="s">
        <v>128</v>
      </c>
      <c r="S5" s="15" t="s">
        <v>128</v>
      </c>
      <c r="T5" s="15" t="s">
        <v>128</v>
      </c>
      <c r="U5" s="15" t="s">
        <v>128</v>
      </c>
      <c r="V5" s="15" t="s">
        <v>128</v>
      </c>
      <c r="W5" s="19"/>
      <c r="X5" s="15" t="s">
        <v>246</v>
      </c>
      <c r="Y5" s="15" t="s">
        <v>246</v>
      </c>
      <c r="Z5" s="15" t="s">
        <v>246</v>
      </c>
      <c r="AA5" s="15" t="s">
        <v>246</v>
      </c>
      <c r="AB5" s="15" t="s">
        <v>246</v>
      </c>
      <c r="AC5" s="15" t="s">
        <v>246</v>
      </c>
      <c r="AD5" s="15" t="s">
        <v>246</v>
      </c>
      <c r="AE5" s="15" t="s">
        <v>246</v>
      </c>
      <c r="AF5" s="15" t="s">
        <v>246</v>
      </c>
      <c r="AG5" s="15" t="s">
        <v>246</v>
      </c>
      <c r="AH5" s="19"/>
      <c r="AI5" s="15" t="s">
        <v>140</v>
      </c>
      <c r="AJ5" s="15" t="s">
        <v>140</v>
      </c>
      <c r="AK5" s="15" t="s">
        <v>140</v>
      </c>
      <c r="AL5" s="15" t="s">
        <v>140</v>
      </c>
      <c r="AM5" s="15" t="s">
        <v>140</v>
      </c>
      <c r="AN5" s="15" t="s">
        <v>140</v>
      </c>
      <c r="AO5" s="15" t="s">
        <v>140</v>
      </c>
      <c r="AP5" s="15" t="s">
        <v>140</v>
      </c>
      <c r="AQ5" s="15" t="s">
        <v>140</v>
      </c>
      <c r="AR5" s="15" t="s">
        <v>153</v>
      </c>
      <c r="AS5" s="15" t="s">
        <v>153</v>
      </c>
      <c r="AT5" s="15" t="s">
        <v>153</v>
      </c>
      <c r="AV5" s="15" t="s">
        <v>135</v>
      </c>
      <c r="AW5" s="15" t="s">
        <v>135</v>
      </c>
      <c r="AX5" s="15" t="s">
        <v>135</v>
      </c>
      <c r="AY5" s="15" t="s">
        <v>135</v>
      </c>
      <c r="AZ5" s="15" t="s">
        <v>135</v>
      </c>
      <c r="BA5" s="15" t="s">
        <v>135</v>
      </c>
      <c r="BB5" s="15" t="s">
        <v>153</v>
      </c>
      <c r="BC5" s="15" t="s">
        <v>153</v>
      </c>
      <c r="BD5" s="1"/>
      <c r="BE5" s="1" t="s">
        <v>153</v>
      </c>
      <c r="BF5" s="1" t="s">
        <v>153</v>
      </c>
      <c r="BG5" s="1" t="s">
        <v>153</v>
      </c>
      <c r="BH5" s="1"/>
      <c r="BI5" s="15" t="s">
        <v>129</v>
      </c>
    </row>
    <row r="6" spans="1:61" x14ac:dyDescent="0.2">
      <c r="A6" s="2">
        <v>1990</v>
      </c>
      <c r="B6">
        <v>0.23</v>
      </c>
      <c r="D6">
        <v>0</v>
      </c>
      <c r="E6">
        <v>7.0000000000000007E-2</v>
      </c>
      <c r="F6">
        <v>0.06</v>
      </c>
      <c r="G6">
        <v>0</v>
      </c>
      <c r="H6">
        <v>7.0000000000000007E-2</v>
      </c>
      <c r="I6">
        <v>0.06</v>
      </c>
      <c r="J6">
        <v>0</v>
      </c>
      <c r="L6" s="7"/>
      <c r="O6">
        <f t="shared" ref="O6:O38" si="0">R6*$BE$33</f>
        <v>32031.999999999996</v>
      </c>
      <c r="R6">
        <v>28000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I6"/>
    </row>
    <row r="7" spans="1:61" x14ac:dyDescent="0.2">
      <c r="A7" s="2">
        <v>1991</v>
      </c>
      <c r="B7">
        <v>0.23</v>
      </c>
      <c r="D7">
        <v>0</v>
      </c>
      <c r="E7">
        <v>7.0000000000000007E-2</v>
      </c>
      <c r="F7">
        <v>0.06</v>
      </c>
      <c r="G7">
        <v>0</v>
      </c>
      <c r="H7">
        <v>7.0000000000000007E-2</v>
      </c>
      <c r="I7">
        <v>0.06</v>
      </c>
      <c r="J7">
        <v>0</v>
      </c>
      <c r="L7" s="7"/>
      <c r="O7">
        <f t="shared" si="0"/>
        <v>32031.999999999996</v>
      </c>
      <c r="R7">
        <v>28000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I7"/>
    </row>
    <row r="8" spans="1:61" x14ac:dyDescent="0.2">
      <c r="A8" s="2">
        <v>1992</v>
      </c>
      <c r="B8">
        <v>0.23</v>
      </c>
      <c r="D8">
        <v>0</v>
      </c>
      <c r="E8">
        <v>7.0000000000000007E-2</v>
      </c>
      <c r="F8">
        <v>0.06</v>
      </c>
      <c r="G8">
        <v>0</v>
      </c>
      <c r="H8">
        <v>7.0000000000000007E-2</v>
      </c>
      <c r="I8">
        <v>0.06</v>
      </c>
      <c r="J8">
        <v>0</v>
      </c>
      <c r="L8" s="7"/>
      <c r="O8">
        <f t="shared" si="0"/>
        <v>32031.999999999996</v>
      </c>
      <c r="R8">
        <v>28000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I8"/>
    </row>
    <row r="9" spans="1:61" x14ac:dyDescent="0.2">
      <c r="A9" s="2">
        <v>1993</v>
      </c>
      <c r="B9">
        <v>0.23</v>
      </c>
      <c r="D9">
        <v>0</v>
      </c>
      <c r="E9">
        <v>7.0000000000000007E-2</v>
      </c>
      <c r="F9">
        <v>0.06</v>
      </c>
      <c r="G9">
        <v>0</v>
      </c>
      <c r="H9">
        <v>7.0000000000000007E-2</v>
      </c>
      <c r="I9">
        <v>0.06</v>
      </c>
      <c r="J9">
        <v>0</v>
      </c>
      <c r="L9" s="7"/>
      <c r="O9">
        <f t="shared" si="0"/>
        <v>32031.999999999996</v>
      </c>
      <c r="R9">
        <v>28000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I9"/>
    </row>
    <row r="10" spans="1:61" x14ac:dyDescent="0.2">
      <c r="A10" s="2">
        <v>1994</v>
      </c>
      <c r="B10">
        <v>0.23</v>
      </c>
      <c r="D10">
        <v>0</v>
      </c>
      <c r="E10">
        <v>7.0000000000000007E-2</v>
      </c>
      <c r="F10">
        <v>0.06</v>
      </c>
      <c r="G10">
        <v>0</v>
      </c>
      <c r="H10">
        <v>7.0000000000000007E-2</v>
      </c>
      <c r="I10">
        <v>0.06</v>
      </c>
      <c r="J10">
        <v>0</v>
      </c>
      <c r="L10" s="7"/>
      <c r="O10">
        <f t="shared" si="0"/>
        <v>32031.999999999996</v>
      </c>
      <c r="R10">
        <v>28000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I10"/>
    </row>
    <row r="11" spans="1:61" x14ac:dyDescent="0.2">
      <c r="A11" s="2">
        <v>1995</v>
      </c>
      <c r="B11">
        <v>0.23</v>
      </c>
      <c r="D11">
        <v>0</v>
      </c>
      <c r="E11">
        <v>7.0000000000000007E-2</v>
      </c>
      <c r="F11">
        <v>0.06</v>
      </c>
      <c r="G11">
        <v>0</v>
      </c>
      <c r="H11">
        <v>7.0000000000000007E-2</v>
      </c>
      <c r="I11">
        <v>0.06</v>
      </c>
      <c r="J11">
        <v>0</v>
      </c>
      <c r="L11" s="7"/>
      <c r="O11">
        <f t="shared" si="0"/>
        <v>32031.999999999996</v>
      </c>
      <c r="R11">
        <v>28000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I11"/>
    </row>
    <row r="12" spans="1:61" x14ac:dyDescent="0.2">
      <c r="A12" s="2">
        <v>1996</v>
      </c>
      <c r="B12">
        <v>0.23</v>
      </c>
      <c r="D12">
        <v>0</v>
      </c>
      <c r="E12">
        <v>7.0000000000000007E-2</v>
      </c>
      <c r="F12">
        <v>0.06</v>
      </c>
      <c r="G12">
        <v>0</v>
      </c>
      <c r="H12">
        <v>7.0000000000000007E-2</v>
      </c>
      <c r="I12">
        <v>0.06</v>
      </c>
      <c r="J12">
        <v>0</v>
      </c>
      <c r="L12" s="7"/>
      <c r="O12">
        <f t="shared" si="0"/>
        <v>32031.999999999996</v>
      </c>
      <c r="R12">
        <v>28000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I12"/>
    </row>
    <row r="13" spans="1:61" x14ac:dyDescent="0.2">
      <c r="A13" s="2">
        <v>1997</v>
      </c>
      <c r="B13">
        <v>0.23</v>
      </c>
      <c r="D13">
        <v>0</v>
      </c>
      <c r="E13">
        <v>7.0000000000000007E-2</v>
      </c>
      <c r="F13">
        <v>0.06</v>
      </c>
      <c r="G13">
        <v>0</v>
      </c>
      <c r="H13">
        <v>7.0000000000000007E-2</v>
      </c>
      <c r="I13">
        <v>0.06</v>
      </c>
      <c r="J13">
        <v>0</v>
      </c>
      <c r="L13" s="7"/>
      <c r="O13">
        <f t="shared" si="0"/>
        <v>32031.999999999996</v>
      </c>
      <c r="R13">
        <v>28000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I13"/>
    </row>
    <row r="14" spans="1:61" x14ac:dyDescent="0.2">
      <c r="A14" s="2">
        <v>1998</v>
      </c>
      <c r="B14">
        <v>0.23</v>
      </c>
      <c r="D14">
        <v>0</v>
      </c>
      <c r="E14">
        <v>7.0000000000000007E-2</v>
      </c>
      <c r="F14">
        <v>0.06</v>
      </c>
      <c r="G14">
        <v>0</v>
      </c>
      <c r="H14">
        <v>7.0000000000000007E-2</v>
      </c>
      <c r="I14">
        <v>0.06</v>
      </c>
      <c r="J14">
        <v>0</v>
      </c>
      <c r="L14" s="7"/>
      <c r="O14">
        <f t="shared" si="0"/>
        <v>32031.999999999996</v>
      </c>
      <c r="R14">
        <v>28000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I14"/>
    </row>
    <row r="15" spans="1:61" x14ac:dyDescent="0.2">
      <c r="A15" s="2">
        <v>1999</v>
      </c>
      <c r="B15">
        <v>0.23</v>
      </c>
      <c r="D15">
        <v>0</v>
      </c>
      <c r="E15">
        <v>7.0000000000000007E-2</v>
      </c>
      <c r="F15">
        <v>0.06</v>
      </c>
      <c r="G15">
        <v>0</v>
      </c>
      <c r="H15">
        <v>7.0000000000000007E-2</v>
      </c>
      <c r="I15">
        <v>0.06</v>
      </c>
      <c r="J15">
        <v>0</v>
      </c>
      <c r="L15" s="7"/>
      <c r="O15">
        <f t="shared" si="0"/>
        <v>32031.999999999996</v>
      </c>
      <c r="R15">
        <v>28000</v>
      </c>
      <c r="AI15"/>
      <c r="AJ15"/>
      <c r="AK15"/>
      <c r="AL15">
        <v>289</v>
      </c>
      <c r="AM15"/>
      <c r="AN15"/>
      <c r="AO15">
        <v>145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I15"/>
    </row>
    <row r="16" spans="1:61" x14ac:dyDescent="0.2">
      <c r="A16" s="2">
        <v>2000</v>
      </c>
      <c r="B16">
        <v>0.23</v>
      </c>
      <c r="D16">
        <v>0</v>
      </c>
      <c r="E16">
        <v>7.0000000000000007E-2</v>
      </c>
      <c r="F16">
        <v>0.06</v>
      </c>
      <c r="G16">
        <v>0</v>
      </c>
      <c r="H16">
        <v>7.0000000000000007E-2</v>
      </c>
      <c r="I16">
        <v>0.06</v>
      </c>
      <c r="J16">
        <v>0</v>
      </c>
      <c r="L16" s="7"/>
      <c r="O16">
        <f t="shared" si="0"/>
        <v>32031.999999999996</v>
      </c>
      <c r="P16">
        <f t="shared" ref="P16:P26" si="1">O16*AT16</f>
        <v>53422.889352818362</v>
      </c>
      <c r="R16">
        <v>28000</v>
      </c>
      <c r="S16">
        <f t="shared" ref="S16:S26" si="2">R16*AT16</f>
        <v>46698.329853862211</v>
      </c>
      <c r="AI16">
        <f>AL16-AO16</f>
        <v>141.36363636363637</v>
      </c>
      <c r="AJ16">
        <f>AM16-AP16</f>
        <v>207</v>
      </c>
      <c r="AK16">
        <f>AVERAGE(AI16:AJ16)</f>
        <v>174.18181818181819</v>
      </c>
      <c r="AL16">
        <f t="shared" ref="AL16:AL25" si="3">AL15-(AL$15-AL$26)/11</f>
        <v>276</v>
      </c>
      <c r="AM16">
        <v>305</v>
      </c>
      <c r="AN16">
        <f>AVERAGE(AL16:AM16)</f>
        <v>290.5</v>
      </c>
      <c r="AO16">
        <f>AO15-(AO$15-AO$26)/11</f>
        <v>134.63636363636363</v>
      </c>
      <c r="AP16">
        <v>98</v>
      </c>
      <c r="AQ16">
        <f>AVERAGE(AO16:AP16)</f>
        <v>116.31818181818181</v>
      </c>
      <c r="AR16">
        <f>AL16/AI16</f>
        <v>1.9524115755627007</v>
      </c>
      <c r="AS16">
        <f>AM16/AJ16</f>
        <v>1.4734299516908214</v>
      </c>
      <c r="AT16">
        <f>AN16/AK16</f>
        <v>1.6677974947807932</v>
      </c>
      <c r="AU16"/>
      <c r="AV16"/>
      <c r="AW16"/>
      <c r="AX16"/>
      <c r="AY16"/>
      <c r="AZ16"/>
      <c r="BA16"/>
      <c r="BB16"/>
      <c r="BC16"/>
      <c r="BI16"/>
    </row>
    <row r="17" spans="1:61" x14ac:dyDescent="0.2">
      <c r="A17" s="2">
        <v>2001</v>
      </c>
      <c r="B17">
        <v>0.23</v>
      </c>
      <c r="D17">
        <v>0</v>
      </c>
      <c r="E17">
        <v>7.0000000000000007E-2</v>
      </c>
      <c r="F17">
        <v>0.06</v>
      </c>
      <c r="G17">
        <v>0</v>
      </c>
      <c r="H17">
        <v>7.0000000000000007E-2</v>
      </c>
      <c r="I17">
        <v>0.06</v>
      </c>
      <c r="J17">
        <v>0</v>
      </c>
      <c r="L17" s="7"/>
      <c r="O17">
        <f t="shared" si="0"/>
        <v>32031.999999999996</v>
      </c>
      <c r="P17">
        <f t="shared" si="1"/>
        <v>52033.970138248835</v>
      </c>
      <c r="R17">
        <v>28000</v>
      </c>
      <c r="S17">
        <f t="shared" si="2"/>
        <v>45484.239631336401</v>
      </c>
      <c r="AI17">
        <f t="shared" ref="AI17:AI26" si="4">AL17-AO17</f>
        <v>138.72727272727275</v>
      </c>
      <c r="AJ17">
        <f t="shared" ref="AJ17:AJ26" si="5">AM17-AP17</f>
        <v>206.5</v>
      </c>
      <c r="AK17">
        <f t="shared" ref="AK17:AK26" si="6">AVERAGE(AI17:AJ17)</f>
        <v>172.61363636363637</v>
      </c>
      <c r="AL17">
        <f t="shared" si="3"/>
        <v>263</v>
      </c>
      <c r="AM17">
        <f t="shared" ref="AM17:AP25" si="7">AM16-(AM$16-AM$26)/10</f>
        <v>297.8</v>
      </c>
      <c r="AN17">
        <f t="shared" ref="AN17:AN26" si="8">AVERAGE(AL17:AM17)</f>
        <v>280.39999999999998</v>
      </c>
      <c r="AO17">
        <f t="shared" ref="AO17:AO25" si="9">AO16-(AO$15-AO$26)/11</f>
        <v>124.27272727272727</v>
      </c>
      <c r="AP17">
        <f t="shared" si="7"/>
        <v>91.3</v>
      </c>
      <c r="AQ17">
        <f t="shared" ref="AQ17:AQ26" si="10">AVERAGE(AO17:AP17)</f>
        <v>107.78636363636363</v>
      </c>
      <c r="AR17">
        <f t="shared" ref="AR17:AR26" si="11">AL17/AI17</f>
        <v>1.8958060288335514</v>
      </c>
      <c r="AS17">
        <f t="shared" ref="AS17:AS26" si="12">AM17/AJ17</f>
        <v>1.4421307506053269</v>
      </c>
      <c r="AT17">
        <f t="shared" ref="AT17:AT26" si="13">AN17/AK17</f>
        <v>1.6244371296905857</v>
      </c>
      <c r="AU17"/>
      <c r="AV17"/>
      <c r="AW17"/>
      <c r="AX17"/>
      <c r="AY17"/>
      <c r="AZ17"/>
      <c r="BA17"/>
      <c r="BB17"/>
      <c r="BC17"/>
      <c r="BI17">
        <v>73.8501291989664</v>
      </c>
    </row>
    <row r="18" spans="1:61" x14ac:dyDescent="0.2">
      <c r="A18" s="2">
        <v>2002</v>
      </c>
      <c r="B18">
        <v>0.23</v>
      </c>
      <c r="D18">
        <v>0</v>
      </c>
      <c r="E18">
        <v>7.0000000000000007E-2</v>
      </c>
      <c r="F18">
        <v>0.06</v>
      </c>
      <c r="G18">
        <v>0</v>
      </c>
      <c r="H18">
        <v>7.0000000000000007E-2</v>
      </c>
      <c r="I18">
        <v>0.06</v>
      </c>
      <c r="J18">
        <v>0</v>
      </c>
      <c r="L18" s="7"/>
      <c r="O18">
        <f t="shared" si="0"/>
        <v>32031.999999999996</v>
      </c>
      <c r="P18">
        <f t="shared" si="1"/>
        <v>50619.583098591538</v>
      </c>
      <c r="R18">
        <v>28000</v>
      </c>
      <c r="S18">
        <f t="shared" si="2"/>
        <v>44247.887323943658</v>
      </c>
      <c r="AI18">
        <f t="shared" si="4"/>
        <v>136.09090909090909</v>
      </c>
      <c r="AJ18">
        <f t="shared" si="5"/>
        <v>206.00000000000003</v>
      </c>
      <c r="AK18">
        <f t="shared" si="6"/>
        <v>171.04545454545456</v>
      </c>
      <c r="AL18">
        <f t="shared" si="3"/>
        <v>250</v>
      </c>
      <c r="AM18">
        <f t="shared" si="7"/>
        <v>290.60000000000002</v>
      </c>
      <c r="AN18">
        <f t="shared" si="8"/>
        <v>270.3</v>
      </c>
      <c r="AO18">
        <f t="shared" si="9"/>
        <v>113.90909090909091</v>
      </c>
      <c r="AP18">
        <f t="shared" si="7"/>
        <v>84.6</v>
      </c>
      <c r="AQ18">
        <f t="shared" si="10"/>
        <v>99.25454545454545</v>
      </c>
      <c r="AR18">
        <f t="shared" si="11"/>
        <v>1.837007348029392</v>
      </c>
      <c r="AS18">
        <f t="shared" si="12"/>
        <v>1.4106796116504854</v>
      </c>
      <c r="AT18">
        <f t="shared" si="13"/>
        <v>1.580281690140845</v>
      </c>
      <c r="AU18"/>
      <c r="AV18"/>
      <c r="AW18"/>
      <c r="AX18"/>
      <c r="AY18"/>
      <c r="AZ18"/>
      <c r="BA18"/>
      <c r="BB18"/>
      <c r="BC18"/>
      <c r="BI18">
        <v>75.710594315245402</v>
      </c>
    </row>
    <row r="19" spans="1:61" x14ac:dyDescent="0.2">
      <c r="A19" s="2">
        <v>2003</v>
      </c>
      <c r="B19">
        <v>0.23</v>
      </c>
      <c r="D19">
        <v>0</v>
      </c>
      <c r="E19">
        <v>7.0000000000000007E-2</v>
      </c>
      <c r="F19">
        <v>0.06</v>
      </c>
      <c r="G19">
        <v>0</v>
      </c>
      <c r="H19">
        <v>7.0000000000000007E-2</v>
      </c>
      <c r="I19">
        <v>0.06</v>
      </c>
      <c r="J19">
        <v>0</v>
      </c>
      <c r="L19" s="7"/>
      <c r="O19">
        <f t="shared" si="0"/>
        <v>32031.999999999996</v>
      </c>
      <c r="P19">
        <f t="shared" si="1"/>
        <v>49179.021268606673</v>
      </c>
      <c r="R19">
        <v>28000</v>
      </c>
      <c r="S19">
        <f t="shared" si="2"/>
        <v>42988.65495507577</v>
      </c>
      <c r="AI19">
        <f t="shared" si="4"/>
        <v>133.45454545454544</v>
      </c>
      <c r="AJ19">
        <f t="shared" si="5"/>
        <v>205.50000000000006</v>
      </c>
      <c r="AK19">
        <f t="shared" si="6"/>
        <v>169.47727272727275</v>
      </c>
      <c r="AL19">
        <f t="shared" si="3"/>
        <v>237</v>
      </c>
      <c r="AM19">
        <f t="shared" si="7"/>
        <v>283.40000000000003</v>
      </c>
      <c r="AN19">
        <f t="shared" si="8"/>
        <v>260.20000000000005</v>
      </c>
      <c r="AO19">
        <f t="shared" si="9"/>
        <v>103.54545454545455</v>
      </c>
      <c r="AP19">
        <f t="shared" si="7"/>
        <v>77.899999999999991</v>
      </c>
      <c r="AQ19">
        <f t="shared" si="10"/>
        <v>90.722727272727269</v>
      </c>
      <c r="AR19">
        <f t="shared" si="11"/>
        <v>1.7758855585831064</v>
      </c>
      <c r="AS19">
        <f t="shared" si="12"/>
        <v>1.379075425790754</v>
      </c>
      <c r="AT19">
        <f t="shared" si="13"/>
        <v>1.5353091055384203</v>
      </c>
      <c r="AU19"/>
      <c r="AV19"/>
      <c r="AW19"/>
      <c r="AX19"/>
      <c r="AY19"/>
      <c r="AZ19"/>
      <c r="BA19"/>
      <c r="BB19"/>
      <c r="BC19"/>
      <c r="BI19">
        <v>77.364341085271306</v>
      </c>
    </row>
    <row r="20" spans="1:61" x14ac:dyDescent="0.2">
      <c r="A20" s="2">
        <v>2004</v>
      </c>
      <c r="B20">
        <v>0.23</v>
      </c>
      <c r="D20">
        <v>0</v>
      </c>
      <c r="E20">
        <v>7.0000000000000007E-2</v>
      </c>
      <c r="F20">
        <v>0.06</v>
      </c>
      <c r="G20">
        <v>0</v>
      </c>
      <c r="H20">
        <v>7.0000000000000007E-2</v>
      </c>
      <c r="I20">
        <v>0.06</v>
      </c>
      <c r="J20">
        <v>0</v>
      </c>
      <c r="L20" s="7"/>
      <c r="O20">
        <f t="shared" si="0"/>
        <v>32031.999999999996</v>
      </c>
      <c r="P20">
        <f t="shared" si="1"/>
        <v>47711.551272333505</v>
      </c>
      <c r="R20">
        <v>28000</v>
      </c>
      <c r="S20">
        <f t="shared" si="2"/>
        <v>41705.901461829992</v>
      </c>
      <c r="AI20">
        <f t="shared" si="4"/>
        <v>130.81818181818181</v>
      </c>
      <c r="AJ20">
        <f t="shared" si="5"/>
        <v>205.00000000000006</v>
      </c>
      <c r="AK20">
        <f t="shared" si="6"/>
        <v>167.90909090909093</v>
      </c>
      <c r="AL20">
        <f t="shared" si="3"/>
        <v>224</v>
      </c>
      <c r="AM20">
        <f t="shared" si="7"/>
        <v>276.20000000000005</v>
      </c>
      <c r="AN20">
        <f t="shared" si="8"/>
        <v>250.10000000000002</v>
      </c>
      <c r="AO20">
        <f t="shared" si="9"/>
        <v>93.181818181818187</v>
      </c>
      <c r="AP20">
        <f t="shared" si="7"/>
        <v>71.199999999999989</v>
      </c>
      <c r="AQ20">
        <f t="shared" si="10"/>
        <v>82.190909090909088</v>
      </c>
      <c r="AR20">
        <f t="shared" si="11"/>
        <v>1.7123002084781098</v>
      </c>
      <c r="AS20">
        <f t="shared" si="12"/>
        <v>1.3473170731707316</v>
      </c>
      <c r="AT20">
        <f t="shared" si="13"/>
        <v>1.4894964807796425</v>
      </c>
      <c r="AU20"/>
      <c r="AV20"/>
      <c r="AW20"/>
      <c r="AX20"/>
      <c r="AY20"/>
      <c r="AZ20"/>
      <c r="BA20"/>
      <c r="BB20"/>
      <c r="BC20"/>
      <c r="BI20">
        <v>78.811369509043899</v>
      </c>
    </row>
    <row r="21" spans="1:61" x14ac:dyDescent="0.2">
      <c r="A21" s="2">
        <v>2005</v>
      </c>
      <c r="B21">
        <v>0.23</v>
      </c>
      <c r="D21">
        <v>0</v>
      </c>
      <c r="E21">
        <v>7.0000000000000007E-2</v>
      </c>
      <c r="F21">
        <v>0.06</v>
      </c>
      <c r="G21">
        <v>0</v>
      </c>
      <c r="H21">
        <v>7.0000000000000007E-2</v>
      </c>
      <c r="I21">
        <v>0.06</v>
      </c>
      <c r="J21">
        <v>0</v>
      </c>
      <c r="L21" s="7"/>
      <c r="O21">
        <f t="shared" si="0"/>
        <v>32031.999999999996</v>
      </c>
      <c r="P21">
        <f t="shared" si="1"/>
       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  <c r="AJ21">
        <f t="shared" si="5"/>
        <v>204.50000000000006</v>
      </c>
      <c r="AK21">
        <f t="shared" si="6"/>
        <v>166.34090909090912</v>
      </c>
      <c r="AL21">
        <f t="shared" si="3"/>
        <v>211</v>
      </c>
      <c r="AM21">
        <f t="shared" si="7"/>
        <v>269.00000000000006</v>
      </c>
      <c r="AN21">
        <f t="shared" si="8"/>
        <v>240.00000000000003</v>
      </c>
      <c r="AO21">
        <f t="shared" si="9"/>
        <v>82.818181818181827</v>
      </c>
      <c r="AP21">
        <f t="shared" si="7"/>
        <v>64.499999999999986</v>
      </c>
      <c r="AQ21">
        <f t="shared" si="10"/>
        <v>73.659090909090907</v>
      </c>
      <c r="AR21">
        <f t="shared" si="11"/>
        <v>1.6460992907801417</v>
      </c>
      <c r="AS21">
        <f t="shared" si="12"/>
        <v>1.315403422982885</v>
      </c>
      <c r="AT21">
        <f t="shared" si="13"/>
        <v>1.4428200573848886</v>
      </c>
      <c r="AU21"/>
      <c r="AV21"/>
      <c r="AW21"/>
      <c r="AX21"/>
      <c r="AY21"/>
      <c r="AZ21"/>
      <c r="BA21"/>
      <c r="BB21"/>
      <c r="BC21"/>
      <c r="BI21">
        <v>81.085271317829395</v>
      </c>
    </row>
    <row r="22" spans="1:61" x14ac:dyDescent="0.2">
      <c r="A22" s="2">
        <v>2006</v>
      </c>
      <c r="B22">
        <v>0.23</v>
      </c>
      <c r="D22">
        <v>0</v>
      </c>
      <c r="E22">
        <v>7.0000000000000007E-2</v>
      </c>
      <c r="F22">
        <v>0.06</v>
      </c>
      <c r="G22">
        <v>0</v>
      </c>
      <c r="H22">
        <v>7.0000000000000007E-2</v>
      </c>
      <c r="I22">
        <v>0.06</v>
      </c>
      <c r="J22">
        <v>0</v>
      </c>
      <c r="L22" s="7"/>
      <c r="O22">
        <f t="shared" si="0"/>
        <v>32031.999999999996</v>
      </c>
      <c r="P22">
        <f t="shared" si="1"/>
        <v>44692.813682758613</v>
      </c>
      <c r="R22">
        <v>28000</v>
      </c>
      <c r="S22">
        <f t="shared" si="2"/>
        <v>39067.144827586199</v>
      </c>
      <c r="AI22">
        <f t="shared" si="4"/>
        <v>125.54545454545453</v>
      </c>
      <c r="AJ22">
        <f t="shared" si="5"/>
        <v>204.00000000000009</v>
      </c>
      <c r="AK22">
        <f t="shared" si="6"/>
        <v>164.77272727272731</v>
      </c>
      <c r="AL22">
        <f t="shared" si="3"/>
        <v>198</v>
      </c>
      <c r="AM22">
        <f t="shared" si="7"/>
        <v>261.80000000000007</v>
      </c>
      <c r="AN22">
        <f t="shared" si="8"/>
        <v>229.90000000000003</v>
      </c>
      <c r="AO22">
        <f t="shared" si="9"/>
        <v>72.454545454545467</v>
      </c>
      <c r="AP22">
        <f t="shared" si="7"/>
        <v>57.799999999999983</v>
      </c>
      <c r="AQ22">
        <f t="shared" si="10"/>
        <v>65.127272727272725</v>
      </c>
      <c r="AR22">
        <f t="shared" si="11"/>
        <v>1.5771180304127446</v>
      </c>
      <c r="AS22">
        <f t="shared" si="12"/>
        <v>1.2833333333333332</v>
      </c>
      <c r="AT22">
        <f t="shared" si="13"/>
        <v>1.3952551724137929</v>
      </c>
      <c r="AU22"/>
      <c r="AV22"/>
      <c r="AW22"/>
      <c r="AX22"/>
      <c r="AY22"/>
      <c r="AZ22"/>
      <c r="BA22"/>
      <c r="BB22"/>
      <c r="BC22"/>
      <c r="BI22">
        <v>82.7390180878552</v>
      </c>
    </row>
    <row r="23" spans="1:61" x14ac:dyDescent="0.2">
      <c r="A23" s="2">
        <v>2007</v>
      </c>
      <c r="B23">
        <v>0.23</v>
      </c>
      <c r="D23">
        <v>0</v>
      </c>
      <c r="E23">
        <v>7.0000000000000007E-2</v>
      </c>
      <c r="F23">
        <v>0.06</v>
      </c>
      <c r="G23">
        <v>0</v>
      </c>
      <c r="H23">
        <v>7.0000000000000007E-2</v>
      </c>
      <c r="I23">
        <v>0.06</v>
      </c>
      <c r="J23">
        <v>0</v>
      </c>
      <c r="L23" s="7"/>
      <c r="O23">
        <f t="shared" si="0"/>
        <v>32031.999999999996</v>
      </c>
      <c r="P23">
        <f t="shared" si="1"/>
        <v>43139.935719259149</v>
      </c>
      <c r="R23">
        <v>28000</v>
      </c>
      <c r="S23">
        <f t="shared" si="2"/>
        <v>37709.734020331431</v>
      </c>
      <c r="AI23">
        <f t="shared" si="4"/>
        <v>122.90909090909089</v>
      </c>
      <c r="AJ23">
        <f t="shared" si="5"/>
        <v>203.50000000000011</v>
      </c>
      <c r="AK23">
        <f t="shared" si="6"/>
        <v>163.2045454545455</v>
      </c>
      <c r="AL23">
        <f t="shared" si="3"/>
        <v>185</v>
      </c>
      <c r="AM23">
        <f t="shared" si="7"/>
        <v>254.60000000000008</v>
      </c>
      <c r="AN23">
        <f t="shared" si="8"/>
        <v>219.80000000000004</v>
      </c>
      <c r="AO23">
        <f t="shared" si="9"/>
        <v>62.090909090909108</v>
      </c>
      <c r="AP23">
        <f t="shared" si="7"/>
        <v>51.09999999999998</v>
      </c>
      <c r="AQ23">
        <f t="shared" si="10"/>
        <v>56.595454545454544</v>
      </c>
      <c r="AR23">
        <f t="shared" si="11"/>
        <v>1.5051775147928996</v>
      </c>
      <c r="AS23">
        <f t="shared" si="12"/>
        <v>1.2511056511056509</v>
      </c>
      <c r="AT23">
        <f t="shared" si="13"/>
        <v>1.3467762150118368</v>
      </c>
      <c r="AU23"/>
      <c r="AV23"/>
      <c r="AW23"/>
      <c r="AX23"/>
      <c r="AY23"/>
      <c r="AZ23"/>
      <c r="BA23"/>
      <c r="BB23"/>
      <c r="BC23"/>
      <c r="BI23">
        <v>84.806201550387499</v>
      </c>
    </row>
    <row r="24" spans="1:61" x14ac:dyDescent="0.2">
      <c r="A24" s="2">
        <v>2008</v>
      </c>
      <c r="B24">
        <v>0.23</v>
      </c>
      <c r="D24">
        <v>0</v>
      </c>
      <c r="E24">
        <v>7.0000000000000007E-2</v>
      </c>
      <c r="F24">
        <v>0.06</v>
      </c>
      <c r="G24">
        <v>0</v>
      </c>
      <c r="H24">
        <v>7.0000000000000007E-2</v>
      </c>
      <c r="I24">
        <v>0.06</v>
      </c>
      <c r="J24">
        <v>0</v>
      </c>
      <c r="L24" s="7"/>
      <c r="O24">
        <f t="shared" si="0"/>
        <v>32031.999999999996</v>
      </c>
      <c r="P24">
        <f t="shared" si="1"/>
        <v>41556.92598425196</v>
      </c>
      <c r="R24">
        <v>28000</v>
      </c>
      <c r="S24">
        <f t="shared" si="2"/>
        <v>36325.984251968504</v>
      </c>
      <c r="AI24">
        <f t="shared" si="4"/>
        <v>120.27272727272725</v>
      </c>
      <c r="AJ24">
        <f t="shared" si="5"/>
        <v>203.00000000000011</v>
      </c>
      <c r="AK24">
        <f t="shared" si="6"/>
        <v>161.63636363636368</v>
      </c>
      <c r="AL24">
        <f t="shared" si="3"/>
        <v>172</v>
      </c>
      <c r="AM24">
        <f t="shared" si="7"/>
        <v>247.40000000000009</v>
      </c>
      <c r="AN24">
        <f t="shared" si="8"/>
        <v>209.70000000000005</v>
      </c>
      <c r="AO24">
        <f t="shared" si="9"/>
        <v>51.727272727272748</v>
      </c>
      <c r="AP24">
        <f t="shared" si="7"/>
        <v>44.399999999999977</v>
      </c>
      <c r="AQ24">
        <f t="shared" si="10"/>
        <v>48.063636363636363</v>
      </c>
      <c r="AR24">
        <f t="shared" si="11"/>
        <v>1.4300831443688589</v>
      </c>
      <c r="AS24">
        <f t="shared" si="12"/>
        <v>1.21871921182266</v>
      </c>
      <c r="AT24">
        <f t="shared" si="13"/>
        <v>1.2973565804274465</v>
      </c>
      <c r="AU24"/>
      <c r="AV24"/>
      <c r="AW24"/>
      <c r="AX24"/>
      <c r="AY24"/>
      <c r="AZ24"/>
      <c r="BA24"/>
      <c r="BB24"/>
      <c r="BC24"/>
      <c r="BI24">
        <v>84.392764857881104</v>
      </c>
    </row>
    <row r="25" spans="1:61" x14ac:dyDescent="0.2">
      <c r="A25" s="2">
        <v>2009</v>
      </c>
      <c r="B25">
        <v>0.23</v>
      </c>
      <c r="D25">
        <v>0</v>
      </c>
      <c r="E25">
        <v>7.0000000000000007E-2</v>
      </c>
      <c r="F25">
        <v>0.06</v>
      </c>
      <c r="G25">
        <v>0</v>
      </c>
      <c r="H25">
        <v>7.0000000000000007E-2</v>
      </c>
      <c r="I25">
        <v>0.06</v>
      </c>
      <c r="J25">
        <v>0</v>
      </c>
      <c r="L25" s="7"/>
      <c r="O25">
        <f t="shared" si="0"/>
        <v>32031.999999999996</v>
      </c>
      <c r="P25">
        <f t="shared" si="1"/>
        <v>39942.898878318891</v>
      </c>
      <c r="R25">
        <v>28000</v>
      </c>
      <c r="S25">
        <f t="shared" si="2"/>
        <v>34915.121397131901</v>
      </c>
      <c r="AI25">
        <f t="shared" si="4"/>
        <v>117.63636363636361</v>
      </c>
      <c r="AJ25">
        <f t="shared" si="5"/>
        <v>202.50000000000011</v>
      </c>
      <c r="AK25">
        <f t="shared" si="6"/>
        <v>160.06818181818187</v>
      </c>
      <c r="AL25">
        <f t="shared" si="3"/>
        <v>159</v>
      </c>
      <c r="AM25">
        <f t="shared" si="7"/>
        <v>240.2000000000001</v>
      </c>
      <c r="AN25">
        <f t="shared" si="8"/>
        <v>199.60000000000005</v>
      </c>
      <c r="AO25">
        <f t="shared" si="9"/>
        <v>41.363636363636388</v>
      </c>
      <c r="AP25">
        <f t="shared" si="7"/>
        <v>37.699999999999974</v>
      </c>
      <c r="AQ25">
        <f t="shared" si="10"/>
        <v>39.531818181818181</v>
      </c>
      <c r="AR25">
        <f t="shared" si="11"/>
        <v>1.3516228748068009</v>
      </c>
      <c r="AS25">
        <f t="shared" si="12"/>
        <v>1.1861728395061726</v>
      </c>
      <c r="AT25">
        <f t="shared" si="13"/>
        <v>1.2469686213261393</v>
      </c>
      <c r="AU25"/>
      <c r="AV25"/>
      <c r="AW25"/>
      <c r="AX25"/>
      <c r="AY25"/>
      <c r="AZ25"/>
      <c r="BA25"/>
      <c r="BB25"/>
      <c r="BC25"/>
      <c r="BI25">
        <v>80.258397932816493</v>
      </c>
    </row>
    <row r="26" spans="1:61" x14ac:dyDescent="0.2">
      <c r="A26" s="2">
        <v>2010</v>
      </c>
      <c r="B26">
        <v>0.23</v>
      </c>
      <c r="D26">
        <v>0</v>
      </c>
      <c r="E26">
        <v>7.0000000000000007E-2</v>
      </c>
      <c r="F26">
        <v>0.06</v>
      </c>
      <c r="G26">
        <v>0</v>
      </c>
      <c r="H26">
        <v>7.0000000000000007E-2</v>
      </c>
      <c r="I26">
        <v>0.06</v>
      </c>
      <c r="J26">
        <v>0</v>
      </c>
      <c r="L26" s="7"/>
      <c r="M26">
        <f t="shared" ref="M26:M32" si="14">BB26*R26</f>
        <v>151264.70588235703</v>
      </c>
      <c r="O26">
        <f t="shared" si="0"/>
        <v>32031.999999999996</v>
      </c>
      <c r="P26">
        <f t="shared" si="1"/>
        <v>38296.933753943209</v>
      </c>
      <c r="R26">
        <v>28000</v>
      </c>
      <c r="S26">
        <f t="shared" si="2"/>
        <v>33476.340694006307</v>
      </c>
      <c r="AI26">
        <f t="shared" si="4"/>
        <v>115</v>
      </c>
      <c r="AJ26">
        <f t="shared" si="5"/>
        <v>202</v>
      </c>
      <c r="AK26">
        <f t="shared" si="6"/>
        <v>158.5</v>
      </c>
      <c r="AL26">
        <v>146</v>
      </c>
      <c r="AM26">
        <v>233</v>
      </c>
      <c r="AN26">
        <f t="shared" si="8"/>
        <v>189.5</v>
      </c>
      <c r="AO26">
        <v>31</v>
      </c>
      <c r="AP26">
        <v>31</v>
      </c>
      <c r="AQ26">
        <f t="shared" si="10"/>
        <v>31</v>
      </c>
      <c r="AR26">
        <f t="shared" si="11"/>
        <v>1.2695652173913043</v>
      </c>
      <c r="AS26">
        <f t="shared" si="12"/>
        <v>1.1534653465346534</v>
      </c>
      <c r="AT26">
        <f t="shared" si="13"/>
        <v>1.1955835962145109</v>
      </c>
      <c r="AU26"/>
      <c r="AV26">
        <f>AX26-AZ26</f>
        <v>202.59629708447915</v>
      </c>
      <c r="AW26"/>
      <c r="AX26">
        <v>1094.4881889763701</v>
      </c>
      <c r="AY26"/>
      <c r="AZ26">
        <v>891.89189189189096</v>
      </c>
      <c r="BA26"/>
      <c r="BB26">
        <f t="shared" ref="BB26:BC32" si="15">AX26/AV26</f>
        <v>5.4023109243698935</v>
      </c>
      <c r="BC26"/>
      <c r="BI26">
        <v>83.152454780361694</v>
      </c>
    </row>
    <row r="27" spans="1:61" x14ac:dyDescent="0.2">
      <c r="A27" s="2">
        <v>2011</v>
      </c>
      <c r="B27">
        <v>0.23</v>
      </c>
      <c r="D27">
        <v>0</v>
      </c>
      <c r="E27">
        <v>7.0000000000000007E-2</v>
      </c>
      <c r="F27">
        <v>0.06</v>
      </c>
      <c r="G27">
        <v>0</v>
      </c>
      <c r="H27">
        <v>7.0000000000000007E-2</v>
      </c>
      <c r="I27">
        <v>0.06</v>
      </c>
      <c r="J27">
        <v>0</v>
      </c>
      <c r="L27" s="7"/>
      <c r="M27">
        <f t="shared" si="14"/>
        <v>174161.55333277243</v>
      </c>
      <c r="O27">
        <f t="shared" si="0"/>
        <v>32031.999999999996</v>
      </c>
      <c r="Q27">
        <f t="shared" ref="Q27:Q32" si="16">BC27*O27</f>
        <v>72045.010601140093</v>
      </c>
      <c r="R27">
        <v>28000</v>
      </c>
      <c r="T27">
        <f t="shared" ref="T27:T32" si="17">R27*BC27</f>
        <v>62976.407868129463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>
        <f t="shared" ref="AV27:AW32" si="18">AX27-AZ27</f>
        <v>158.23845499042397</v>
      </c>
      <c r="AW27">
        <f t="shared" si="18"/>
        <v>146.04438875961898</v>
      </c>
      <c r="AX27">
        <v>984.25196850393695</v>
      </c>
      <c r="AY27">
        <v>328.47682119205098</v>
      </c>
      <c r="AZ27">
        <v>826.01351351351298</v>
      </c>
      <c r="BA27">
        <v>182.43243243243199</v>
      </c>
      <c r="BB27">
        <f t="shared" si="15"/>
        <v>6.2200554761704439</v>
      </c>
      <c r="BC27">
        <f t="shared" si="15"/>
        <v>2.2491574238617664</v>
      </c>
      <c r="BI27">
        <v>86.873385012919798</v>
      </c>
    </row>
    <row r="28" spans="1:61" x14ac:dyDescent="0.2">
      <c r="A28" s="2">
        <v>2012</v>
      </c>
      <c r="B28">
        <v>0.23</v>
      </c>
      <c r="D28">
        <v>0</v>
      </c>
      <c r="E28">
        <v>7.0000000000000007E-2</v>
      </c>
      <c r="F28">
        <v>0.06</v>
      </c>
      <c r="G28">
        <v>0</v>
      </c>
      <c r="H28">
        <v>7.0000000000000007E-2</v>
      </c>
      <c r="I28">
        <v>0.06</v>
      </c>
      <c r="J28">
        <v>0</v>
      </c>
      <c r="L28" s="7"/>
      <c r="M28">
        <f t="shared" si="14"/>
        <v>152660.72489601807</v>
      </c>
      <c r="O28">
        <f t="shared" si="0"/>
        <v>32031.999999999996</v>
      </c>
      <c r="Q28">
        <f t="shared" si="16"/>
        <v>53656.836564942962</v>
      </c>
      <c r="R28">
        <v>28000</v>
      </c>
      <c r="T28">
        <f t="shared" si="17"/>
        <v>46902.829165159936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>
        <f t="shared" si="18"/>
        <v>134.31049159395695</v>
      </c>
      <c r="AW28">
        <f t="shared" si="18"/>
        <v>187.65959668277401</v>
      </c>
      <c r="AX28">
        <v>732.28346456692896</v>
      </c>
      <c r="AY28">
        <v>314.348785871963</v>
      </c>
      <c r="AZ28">
        <v>597.972972972972</v>
      </c>
      <c r="BA28">
        <v>126.68918918918899</v>
      </c>
      <c r="BB28">
        <f t="shared" si="15"/>
        <v>5.4521687462863602</v>
      </c>
      <c r="BC28">
        <f t="shared" si="15"/>
        <v>1.6751010416128549</v>
      </c>
      <c r="BI28">
        <v>88.113695090439194</v>
      </c>
    </row>
    <row r="29" spans="1:61" x14ac:dyDescent="0.2">
      <c r="A29" s="2">
        <v>2013</v>
      </c>
      <c r="B29">
        <v>0.23</v>
      </c>
      <c r="D29">
        <v>0</v>
      </c>
      <c r="E29">
        <v>7.0000000000000007E-2</v>
      </c>
      <c r="F29">
        <v>0.06</v>
      </c>
      <c r="G29">
        <v>0</v>
      </c>
      <c r="H29">
        <v>7.0000000000000007E-2</v>
      </c>
      <c r="I29">
        <v>0.06</v>
      </c>
      <c r="J29">
        <v>0</v>
      </c>
      <c r="L29" s="7"/>
      <c r="M29">
        <f t="shared" si="14"/>
        <v>92250.362125485641</v>
      </c>
      <c r="O29">
        <f t="shared" si="0"/>
        <v>32031.999999999996</v>
      </c>
      <c r="Q29">
        <f t="shared" si="16"/>
        <v>44177.384744154908</v>
      </c>
      <c r="R29">
        <v>28000</v>
      </c>
      <c r="T29">
        <f t="shared" si="17"/>
        <v>38616.595056079474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>
        <f t="shared" si="18"/>
        <v>174.46531176846202</v>
      </c>
      <c r="AW29">
        <f t="shared" si="18"/>
        <v>213.8416562257612</v>
      </c>
      <c r="AX29">
        <v>574.80314960629903</v>
      </c>
      <c r="AY29">
        <v>294.92273730684201</v>
      </c>
      <c r="AZ29">
        <v>400.33783783783701</v>
      </c>
      <c r="BA29">
        <v>81.081081081080796</v>
      </c>
      <c r="BB29">
        <f t="shared" si="15"/>
        <v>3.2946557901959159</v>
      </c>
      <c r="BC29">
        <f t="shared" si="15"/>
        <v>1.3791641091456954</v>
      </c>
      <c r="BI29">
        <v>88.320413436692405</v>
      </c>
    </row>
    <row r="30" spans="1:61" x14ac:dyDescent="0.2">
      <c r="A30" s="2">
        <v>2014</v>
      </c>
      <c r="B30">
        <v>0.23</v>
      </c>
      <c r="D30">
        <v>0</v>
      </c>
      <c r="E30">
        <v>7.0000000000000007E-2</v>
      </c>
      <c r="F30">
        <v>0.06</v>
      </c>
      <c r="G30">
        <v>0</v>
      </c>
      <c r="H30">
        <v>7.0000000000000007E-2</v>
      </c>
      <c r="I30">
        <v>0.06</v>
      </c>
      <c r="J30">
        <v>0</v>
      </c>
      <c r="L30" s="7"/>
      <c r="M30">
        <f t="shared" si="14"/>
        <v>81176.73808482739</v>
      </c>
      <c r="O30">
        <f t="shared" si="0"/>
        <v>32031.999999999996</v>
      </c>
      <c r="Q30">
        <f t="shared" si="16"/>
        <v>39666.497444253524</v>
      </c>
      <c r="R30">
        <v>28000</v>
      </c>
      <c r="T30">
        <f t="shared" si="17"/>
        <v>34673.511751969862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>
        <f t="shared" si="18"/>
        <v>152.09353053841198</v>
      </c>
      <c r="AW30">
        <f t="shared" si="18"/>
        <v>233.88148081856571</v>
      </c>
      <c r="AX30">
        <v>440.944881889763</v>
      </c>
      <c r="AY30">
        <v>289.62472406180899</v>
      </c>
      <c r="AZ30">
        <v>288.85135135135101</v>
      </c>
      <c r="BA30">
        <v>55.743243243243299</v>
      </c>
      <c r="BB30">
        <f t="shared" si="15"/>
        <v>2.8991692173152637</v>
      </c>
      <c r="BC30">
        <f t="shared" si="15"/>
        <v>1.2383397054274952</v>
      </c>
      <c r="BI30">
        <v>89.354005167958604</v>
      </c>
    </row>
    <row r="31" spans="1:61" x14ac:dyDescent="0.2">
      <c r="A31" s="2">
        <v>2015</v>
      </c>
      <c r="B31">
        <v>0.23</v>
      </c>
      <c r="D31">
        <v>0</v>
      </c>
      <c r="E31">
        <v>7.0000000000000007E-2</v>
      </c>
      <c r="F31">
        <v>0.06</v>
      </c>
      <c r="G31">
        <v>0</v>
      </c>
      <c r="H31">
        <v>7.0000000000000007E-2</v>
      </c>
      <c r="I31">
        <v>0.06</v>
      </c>
      <c r="J31">
        <v>0</v>
      </c>
      <c r="L31" s="7"/>
      <c r="M31">
        <f t="shared" si="14"/>
        <v>57143.749186938789</v>
      </c>
      <c r="O31">
        <f t="shared" si="0"/>
        <v>32031.999999999996</v>
      </c>
      <c r="Q31">
        <f t="shared" si="16"/>
        <v>37182.871650974514</v>
      </c>
      <c r="R31">
        <v>28000</v>
      </c>
      <c r="T31">
        <f t="shared" si="17"/>
        <v>32502.510184418286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>
        <f t="shared" si="18"/>
        <v>204.484996807832</v>
      </c>
      <c r="AW31">
        <f t="shared" si="18"/>
        <v>220.59766720362609</v>
      </c>
      <c r="AX31">
        <v>417.32283464566899</v>
      </c>
      <c r="AY31">
        <v>256.070640176599</v>
      </c>
      <c r="AZ31">
        <v>212.83783783783699</v>
      </c>
      <c r="BA31">
        <v>35.472972972972897</v>
      </c>
      <c r="BB31">
        <f t="shared" si="15"/>
        <v>2.040848185247814</v>
      </c>
      <c r="BC31">
        <f t="shared" si="15"/>
        <v>1.1608039351577959</v>
      </c>
      <c r="BI31">
        <v>91.834625322997397</v>
      </c>
    </row>
    <row r="32" spans="1:61" x14ac:dyDescent="0.2">
      <c r="A32" s="2">
        <v>2016</v>
      </c>
      <c r="B32">
        <v>0.23</v>
      </c>
      <c r="D32">
        <v>0</v>
      </c>
      <c r="E32">
        <v>7.0000000000000007E-2</v>
      </c>
      <c r="F32">
        <v>0.06</v>
      </c>
      <c r="G32">
        <v>0</v>
      </c>
      <c r="H32">
        <v>7.0000000000000007E-2</v>
      </c>
      <c r="I32">
        <v>0.06</v>
      </c>
      <c r="J32">
        <v>0</v>
      </c>
      <c r="L32" s="7"/>
      <c r="M32">
        <f t="shared" si="14"/>
        <v>45991.839399379707</v>
      </c>
      <c r="O32">
        <f t="shared" si="0"/>
        <v>32031.999999999996</v>
      </c>
      <c r="Q32">
        <f t="shared" si="16"/>
        <v>36487.354635334596</v>
      </c>
      <c r="R32">
        <v>28000</v>
      </c>
      <c r="T32">
        <f t="shared" si="17"/>
        <v>31894.540765152626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>
        <f t="shared" si="18"/>
        <v>244.48020855501198</v>
      </c>
      <c r="AW32">
        <f t="shared" si="18"/>
        <v>218.60121711114962</v>
      </c>
      <c r="AX32">
        <v>401.574803149606</v>
      </c>
      <c r="AY32">
        <v>249.00662251655501</v>
      </c>
      <c r="AZ32">
        <v>157.09459459459401</v>
      </c>
      <c r="BA32">
        <v>30.4054054054054</v>
      </c>
      <c r="BB32">
        <f>AX32/AV32</f>
        <v>1.6425656928349897</v>
      </c>
      <c r="BC32">
        <f t="shared" si="15"/>
        <v>1.1390907416125937</v>
      </c>
      <c r="BI32">
        <v>93.901808785529695</v>
      </c>
    </row>
    <row r="33" spans="1:61" x14ac:dyDescent="0.2">
      <c r="A33" s="2">
        <v>2017</v>
      </c>
      <c r="B33">
        <v>0.23</v>
      </c>
      <c r="D33">
        <v>0</v>
      </c>
      <c r="E33">
        <v>7.0000000000000007E-2</v>
      </c>
      <c r="F33">
        <v>0.06</v>
      </c>
      <c r="G33">
        <v>0</v>
      </c>
      <c r="H33">
        <v>7.0000000000000007E-2</v>
      </c>
      <c r="I33">
        <v>0.06</v>
      </c>
      <c r="J33">
        <v>0</v>
      </c>
      <c r="L33" s="7"/>
      <c r="M33">
        <f>BG33*R33</f>
        <v>43594.936708860849</v>
      </c>
      <c r="O33">
        <f t="shared" si="0"/>
        <v>32031.999999999996</v>
      </c>
      <c r="P33">
        <f>O33*BF33</f>
        <v>37349.311999999991</v>
      </c>
      <c r="R33">
        <v>28000</v>
      </c>
      <c r="S33">
        <f>R33*BF33</f>
        <v>32647.999999999996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E33" s="20">
        <f>AVERAGE(19%, 12%, 21%, 9%, 11%)+1</f>
        <v>1.1439999999999999</v>
      </c>
      <c r="BF33" s="20">
        <f>AVERAGE(14%, 30%, 29%, 4%, 6%)+1</f>
        <v>1.1659999999999999</v>
      </c>
      <c r="BG33">
        <f>47.9220779220779/30.7792207792207</f>
        <v>1.5569620253164589</v>
      </c>
      <c r="BI33">
        <v>95.348837209302303</v>
      </c>
    </row>
    <row r="34" spans="1:61" x14ac:dyDescent="0.2">
      <c r="A34" s="2">
        <v>2018</v>
      </c>
      <c r="B34">
        <v>0.23</v>
      </c>
      <c r="D34">
        <v>0</v>
      </c>
      <c r="E34">
        <v>7.0000000000000007E-2</v>
      </c>
      <c r="F34">
        <v>0.06</v>
      </c>
      <c r="G34">
        <v>0</v>
      </c>
      <c r="H34">
        <v>7.0000000000000007E-2</v>
      </c>
      <c r="I34">
        <v>0.06</v>
      </c>
      <c r="J34">
        <v>0</v>
      </c>
      <c r="L34" s="7"/>
      <c r="O34">
        <f t="shared" si="0"/>
        <v>32031.999999999996</v>
      </c>
      <c r="R34">
        <v>28000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I34">
        <v>96.382428940568403</v>
      </c>
    </row>
    <row r="35" spans="1:61" x14ac:dyDescent="0.2">
      <c r="A35" s="2">
        <v>2019</v>
      </c>
      <c r="B35">
        <v>0.23</v>
      </c>
      <c r="D35">
        <v>0</v>
      </c>
      <c r="E35">
        <v>7.0000000000000007E-2</v>
      </c>
      <c r="F35">
        <v>0.06</v>
      </c>
      <c r="G35">
        <v>0</v>
      </c>
      <c r="H35">
        <v>7.0000000000000007E-2</v>
      </c>
      <c r="I35">
        <v>0.06</v>
      </c>
      <c r="J35">
        <v>0</v>
      </c>
      <c r="L35" s="7"/>
      <c r="O35">
        <f t="shared" si="0"/>
        <v>32031.999999999996</v>
      </c>
      <c r="R35">
        <v>28000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I35">
        <v>100.31007751937901</v>
      </c>
    </row>
    <row r="36" spans="1:61" x14ac:dyDescent="0.2">
      <c r="A36" s="2">
        <v>2020</v>
      </c>
      <c r="B36">
        <v>0.23</v>
      </c>
      <c r="D36">
        <v>0</v>
      </c>
      <c r="E36">
        <v>7.0000000000000007E-2</v>
      </c>
      <c r="F36">
        <v>0.06</v>
      </c>
      <c r="G36">
        <v>0</v>
      </c>
      <c r="H36">
        <v>7.0000000000000007E-2</v>
      </c>
      <c r="I36">
        <v>0.06</v>
      </c>
      <c r="J36">
        <v>0</v>
      </c>
      <c r="L36" s="7"/>
      <c r="O36">
        <f t="shared" si="0"/>
        <v>32031.999999999996</v>
      </c>
      <c r="R36">
        <v>28000</v>
      </c>
      <c r="X36">
        <v>55400</v>
      </c>
      <c r="Z36">
        <v>72300</v>
      </c>
      <c r="AA36">
        <v>67100</v>
      </c>
      <c r="AB36">
        <v>64000</v>
      </c>
      <c r="AC36">
        <v>72300</v>
      </c>
      <c r="AD36">
        <v>67100</v>
      </c>
      <c r="AE36">
        <v>64000</v>
      </c>
      <c r="AF36">
        <v>83100</v>
      </c>
      <c r="AG36">
        <v>73300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I36">
        <v>104.444444444444</v>
      </c>
    </row>
    <row r="37" spans="1:61" x14ac:dyDescent="0.2">
      <c r="A37" s="2">
        <v>2021</v>
      </c>
      <c r="B37">
        <v>0.23</v>
      </c>
      <c r="D37">
        <v>0</v>
      </c>
      <c r="E37">
        <v>7.0000000000000007E-2</v>
      </c>
      <c r="F37">
        <v>0.06</v>
      </c>
      <c r="G37">
        <v>0</v>
      </c>
      <c r="H37">
        <v>7.0000000000000007E-2</v>
      </c>
      <c r="I37">
        <v>0.06</v>
      </c>
      <c r="J37">
        <v>0</v>
      </c>
      <c r="L37" s="7"/>
      <c r="O37">
        <f t="shared" si="0"/>
        <v>32031.999999999996</v>
      </c>
      <c r="R37">
        <v>28000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I37">
        <v>101.757105943152</v>
      </c>
    </row>
    <row r="38" spans="1:61" x14ac:dyDescent="0.2">
      <c r="A38" s="2">
        <v>2022</v>
      </c>
      <c r="B38">
        <v>0.23</v>
      </c>
      <c r="D38">
        <v>0</v>
      </c>
      <c r="E38">
        <v>7.0000000000000007E-2</v>
      </c>
      <c r="F38">
        <v>0.06</v>
      </c>
      <c r="G38">
        <v>0</v>
      </c>
      <c r="H38">
        <v>7.0000000000000007E-2</v>
      </c>
      <c r="I38">
        <v>0.06</v>
      </c>
      <c r="J38">
        <v>0</v>
      </c>
      <c r="L38" s="7"/>
      <c r="O38">
        <f t="shared" si="0"/>
        <v>32031.999999999996</v>
      </c>
      <c r="R38">
        <v>28000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I38"/>
    </row>
    <row r="39" spans="1:61" ht="37" customHeight="1" x14ac:dyDescent="0.2">
      <c r="A39" s="4"/>
      <c r="L39" s="7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I39"/>
    </row>
    <row r="40" spans="1:61" x14ac:dyDescent="0.2">
      <c r="A40" s="2" t="s">
        <v>40</v>
      </c>
      <c r="L40" s="7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I40"/>
    </row>
    <row r="41" spans="1:61" x14ac:dyDescent="0.2">
      <c r="L41" s="7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I41"/>
    </row>
    <row r="42" spans="1:61" x14ac:dyDescent="0.2">
      <c r="A42" s="2" t="s">
        <v>85</v>
      </c>
      <c r="L42" s="7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I42"/>
    </row>
    <row r="43" spans="1:61" x14ac:dyDescent="0.2">
      <c r="A43" s="2" t="s">
        <v>86</v>
      </c>
      <c r="L43" s="7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I43"/>
    </row>
    <row r="44" spans="1:61" x14ac:dyDescent="0.2">
      <c r="A44" s="2" t="s">
        <v>95</v>
      </c>
      <c r="L44" s="7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I44"/>
    </row>
    <row r="45" spans="1:61" x14ac:dyDescent="0.2">
      <c r="A45" s="2" t="s">
        <v>96</v>
      </c>
      <c r="L45" s="7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I45"/>
    </row>
    <row r="46" spans="1:61" x14ac:dyDescent="0.2">
      <c r="A46" s="2" t="s">
        <v>97</v>
      </c>
      <c r="L46" s="7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I46"/>
    </row>
    <row r="47" spans="1:61" x14ac:dyDescent="0.2">
      <c r="L47" s="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I47"/>
    </row>
    <row r="48" spans="1:61" x14ac:dyDescent="0.2">
      <c r="A48" s="2" t="s">
        <v>6</v>
      </c>
      <c r="B48" t="s">
        <v>137</v>
      </c>
      <c r="C48" s="3" t="s">
        <v>138</v>
      </c>
      <c r="L48" s="7"/>
      <c r="X48" s="70" t="s">
        <v>165</v>
      </c>
      <c r="Y48" s="70"/>
      <c r="Z48" s="70"/>
      <c r="AA48" s="70"/>
      <c r="AB48" s="70"/>
      <c r="AC48" s="70"/>
      <c r="AD48" s="70"/>
      <c r="AE48" s="70"/>
      <c r="AF48" s="70"/>
      <c r="AG48" s="70"/>
      <c r="AI48" s="70" t="s">
        <v>150</v>
      </c>
      <c r="AJ48" s="70"/>
      <c r="AK48" s="18"/>
      <c r="AL48" s="70" t="s">
        <v>148</v>
      </c>
      <c r="AM48" s="70"/>
      <c r="AN48" s="18"/>
      <c r="AO48" s="70" t="s">
        <v>149</v>
      </c>
      <c r="AP48" s="70"/>
      <c r="AQ48" s="18"/>
      <c r="AR48" s="70" t="s">
        <v>154</v>
      </c>
      <c r="AS48" s="70"/>
      <c r="AT48" s="70"/>
      <c r="AU48"/>
      <c r="AV48"/>
      <c r="AW48"/>
      <c r="AX48" s="3" t="s">
        <v>133</v>
      </c>
      <c r="AY48" s="3" t="s">
        <v>133</v>
      </c>
      <c r="AZ48" s="3" t="s">
        <v>133</v>
      </c>
      <c r="BA48" s="3" t="s">
        <v>133</v>
      </c>
      <c r="BB48" s="3"/>
      <c r="BC48" s="3"/>
      <c r="BE48" s="70" t="s">
        <v>159</v>
      </c>
      <c r="BF48" s="70"/>
      <c r="BI48"/>
    </row>
    <row r="49" spans="1:61" x14ac:dyDescent="0.2">
      <c r="A49" s="2" t="s">
        <v>7</v>
      </c>
      <c r="B49" t="s">
        <v>136</v>
      </c>
      <c r="C49" s="3" t="s">
        <v>139</v>
      </c>
      <c r="L49" s="7"/>
      <c r="X49" s="70" t="s">
        <v>166</v>
      </c>
      <c r="Y49" s="70"/>
      <c r="Z49" s="70"/>
      <c r="AA49" s="70"/>
      <c r="AB49" s="70"/>
      <c r="AC49" s="70"/>
      <c r="AD49" s="70"/>
      <c r="AE49" s="70"/>
      <c r="AF49" s="70"/>
      <c r="AG49" s="70"/>
      <c r="AI49" s="70" t="s">
        <v>139</v>
      </c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18"/>
      <c r="AW49" s="18"/>
      <c r="AX49"/>
      <c r="AY49"/>
      <c r="AZ49"/>
      <c r="BA49"/>
      <c r="BB49"/>
      <c r="BC49"/>
      <c r="BE49" s="69" t="s">
        <v>158</v>
      </c>
      <c r="BF49" s="70"/>
      <c r="BI49"/>
    </row>
    <row r="50" spans="1:61" x14ac:dyDescent="0.2">
      <c r="L50" s="7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I50"/>
    </row>
    <row r="51" spans="1:61" x14ac:dyDescent="0.2">
      <c r="A51"/>
      <c r="L51" s="7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I51"/>
    </row>
    <row r="52" spans="1:61" x14ac:dyDescent="0.2">
      <c r="A52"/>
      <c r="L52" s="7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I52"/>
    </row>
    <row r="53" spans="1:61" x14ac:dyDescent="0.2">
      <c r="A53"/>
      <c r="L53" s="7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I53"/>
    </row>
    <row r="54" spans="1:61" x14ac:dyDescent="0.2">
      <c r="A54"/>
      <c r="L54" s="7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I54"/>
    </row>
    <row r="55" spans="1:61" x14ac:dyDescent="0.2">
      <c r="A55"/>
      <c r="L55" s="7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I55"/>
    </row>
    <row r="56" spans="1:61" x14ac:dyDescent="0.2">
      <c r="A56"/>
      <c r="L56" s="7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I56"/>
    </row>
    <row r="57" spans="1:61" x14ac:dyDescent="0.2">
      <c r="A57"/>
      <c r="L57" s="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I57"/>
    </row>
    <row r="58" spans="1:61" x14ac:dyDescent="0.2">
      <c r="A58"/>
      <c r="L58" s="7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I58"/>
    </row>
    <row r="59" spans="1:61" x14ac:dyDescent="0.2">
      <c r="A59"/>
      <c r="L59" s="7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I59"/>
    </row>
    <row r="60" spans="1:61" x14ac:dyDescent="0.2">
      <c r="A60"/>
      <c r="L60" s="7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I60"/>
    </row>
    <row r="61" spans="1:61" x14ac:dyDescent="0.2">
      <c r="A61"/>
      <c r="L61" s="7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I61"/>
    </row>
    <row r="62" spans="1:61" x14ac:dyDescent="0.2">
      <c r="A62"/>
      <c r="L62" s="7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I62"/>
    </row>
    <row r="63" spans="1:61" x14ac:dyDescent="0.2">
      <c r="A63"/>
      <c r="L63" s="7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</row>
    <row r="64" spans="1:61" x14ac:dyDescent="0.2">
      <c r="A64"/>
      <c r="L64" s="7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</row>
    <row r="65" spans="12:34" customFormat="1" x14ac:dyDescent="0.2">
      <c r="L65" s="7"/>
      <c r="W65" s="7"/>
      <c r="AH65" s="7"/>
    </row>
    <row r="66" spans="12:34" customFormat="1" x14ac:dyDescent="0.2">
      <c r="L66" s="7"/>
      <c r="W66" s="7"/>
      <c r="AH66" s="7"/>
    </row>
    <row r="67" spans="12:34" customFormat="1" x14ac:dyDescent="0.2">
      <c r="L67" s="7"/>
      <c r="W67" s="7"/>
      <c r="AH67" s="7"/>
    </row>
    <row r="68" spans="12:34" customFormat="1" x14ac:dyDescent="0.2">
      <c r="L68" s="7"/>
      <c r="W68" s="7"/>
      <c r="AH68" s="7"/>
    </row>
    <row r="69" spans="12:34" customFormat="1" x14ac:dyDescent="0.2">
      <c r="L69" s="7"/>
      <c r="W69" s="7"/>
      <c r="AH69" s="7"/>
    </row>
  </sheetData>
  <mergeCells count="27">
    <mergeCell ref="AR48:AT48"/>
    <mergeCell ref="X48:AG48"/>
    <mergeCell ref="X49:AG49"/>
    <mergeCell ref="AL48:AM48"/>
    <mergeCell ref="AO48:AP48"/>
    <mergeCell ref="AI48:AJ48"/>
    <mergeCell ref="AI49:AU49"/>
    <mergeCell ref="BE49:BF49"/>
    <mergeCell ref="BE48:BF48"/>
    <mergeCell ref="BE1:BG1"/>
    <mergeCell ref="BE2:BG2"/>
    <mergeCell ref="AX2:AY2"/>
    <mergeCell ref="BB2:BC2"/>
    <mergeCell ref="M1:V1"/>
    <mergeCell ref="M2:V2"/>
    <mergeCell ref="B2:K2"/>
    <mergeCell ref="AZ2:BA2"/>
    <mergeCell ref="AV2:AW2"/>
    <mergeCell ref="AV1:BC1"/>
    <mergeCell ref="B1:K1"/>
    <mergeCell ref="AI1:AT1"/>
    <mergeCell ref="X2:AG2"/>
    <mergeCell ref="X1:AG1"/>
    <mergeCell ref="AI2:AK2"/>
    <mergeCell ref="AL2:AN2"/>
    <mergeCell ref="AO2:AQ2"/>
    <mergeCell ref="AR2:AT2"/>
  </mergeCells>
  <hyperlinks>
    <hyperlink ref="BA48" r:id="rId1" xr:uid="{B7A91915-2F21-FD47-A131-670178DE28F8}"/>
    <hyperlink ref="AZ48" r:id="rId2" xr:uid="{5F841840-CCA2-3F4B-BAF7-12A7AF899EBF}"/>
    <hyperlink ref="C48" r:id="rId3" tooltip="Persistent link using digital object identifier" display="https://doi.org/10.1016/j.jclepro.2018.12.019" xr:uid="{D769DD03-A0BB-404B-B4FB-A75B38A83EEE}"/>
    <hyperlink ref="C49" r:id="rId4" tooltip="Persistent link using digital object identifier" display="https://doi.org/10.1016/j.enpol.2012.05.038" xr:uid="{0A36A993-1EAE-DF43-A117-0B8E1EB06B01}"/>
    <hyperlink ref="AY48" r:id="rId5" xr:uid="{191719FA-D3F1-1B4D-8551-56923A11EED7}"/>
    <hyperlink ref="AX48" r:id="rId6" xr:uid="{712015E1-BC1E-2D40-B9A7-0D8F5FC81E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03A-22B7-4641-ACF5-FC3E5BEB015D}">
  <dimension ref="A1:AR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baseColWidth="10" defaultRowHeight="16" x14ac:dyDescent="0.2"/>
  <cols>
    <col min="1" max="1" width="10.83203125" style="2"/>
    <col min="2" max="4" width="12.1640625" bestFit="1" customWidth="1"/>
    <col min="5" max="5" width="11.1640625" bestFit="1" customWidth="1"/>
    <col min="7" max="7" width="12.1640625" bestFit="1" customWidth="1"/>
    <col min="8" max="8" width="11.1640625" bestFit="1" customWidth="1"/>
    <col min="12" max="12" width="10.83203125" style="7"/>
    <col min="13" max="13" width="13.6640625" customWidth="1"/>
    <col min="14" max="14" width="14" bestFit="1" customWidth="1"/>
    <col min="15" max="15" width="10.83203125" style="7"/>
    <col min="18" max="18" width="10.83203125" style="7"/>
    <col min="29" max="29" width="10.83203125" style="7"/>
    <col min="44" max="44" width="10.83203125" style="7"/>
    <col min="63" max="63" width="10.83203125" customWidth="1"/>
  </cols>
  <sheetData>
    <row r="1" spans="1:44" s="2" customFormat="1" ht="56" customHeight="1" x14ac:dyDescent="0.2">
      <c r="B1" s="57" t="s">
        <v>99</v>
      </c>
      <c r="C1" s="57"/>
      <c r="D1" s="57"/>
      <c r="E1" s="57"/>
      <c r="F1" s="57"/>
      <c r="G1" s="57"/>
      <c r="H1" s="57"/>
      <c r="I1" s="57"/>
      <c r="J1" s="57"/>
      <c r="K1" s="57"/>
      <c r="L1" s="6"/>
      <c r="M1" s="76" t="s">
        <v>106</v>
      </c>
      <c r="N1" s="77"/>
      <c r="O1" s="6"/>
      <c r="P1" s="78" t="s">
        <v>303</v>
      </c>
      <c r="Q1" s="78"/>
      <c r="R1" s="6"/>
      <c r="S1" s="75" t="s">
        <v>125</v>
      </c>
      <c r="T1" s="75"/>
      <c r="U1" s="75"/>
      <c r="V1" s="75"/>
      <c r="W1" s="75"/>
      <c r="X1" s="75"/>
      <c r="Y1" s="75"/>
      <c r="Z1" s="75"/>
      <c r="AA1" s="75"/>
      <c r="AB1" s="75"/>
      <c r="AC1" s="6"/>
      <c r="AD1" s="74" t="s">
        <v>113</v>
      </c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6"/>
    </row>
    <row r="2" spans="1:44" s="2" customFormat="1" x14ac:dyDescent="0.2">
      <c r="A2" s="1"/>
      <c r="B2" s="56" t="s">
        <v>98</v>
      </c>
      <c r="C2" s="56"/>
      <c r="D2" s="56"/>
      <c r="E2" s="56"/>
      <c r="F2" s="56"/>
      <c r="G2" s="56"/>
      <c r="H2" s="56"/>
      <c r="I2" s="56"/>
      <c r="J2" s="56"/>
      <c r="K2" s="56"/>
      <c r="L2" s="6"/>
      <c r="O2" s="6"/>
      <c r="P2" s="56" t="s">
        <v>98</v>
      </c>
      <c r="Q2" s="56"/>
      <c r="R2" s="6"/>
      <c r="S2" s="56" t="s">
        <v>117</v>
      </c>
      <c r="T2" s="56"/>
      <c r="U2" s="56"/>
      <c r="W2" s="56" t="s">
        <v>119</v>
      </c>
      <c r="X2" s="56"/>
      <c r="Y2" s="56"/>
      <c r="AA2" s="56" t="s">
        <v>121</v>
      </c>
      <c r="AB2" s="56"/>
      <c r="AC2" s="6"/>
      <c r="AD2" s="81" t="s">
        <v>100</v>
      </c>
      <c r="AE2" s="81"/>
      <c r="AF2" s="81"/>
      <c r="AL2" s="56" t="s">
        <v>88</v>
      </c>
      <c r="AM2" s="56"/>
      <c r="AO2" s="2" t="s">
        <v>111</v>
      </c>
      <c r="AQ2" s="2" t="s">
        <v>112</v>
      </c>
      <c r="AR2" s="6"/>
    </row>
    <row r="3" spans="1:44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L3" s="6"/>
      <c r="M3" s="2" t="s">
        <v>58</v>
      </c>
      <c r="N3" s="2" t="s">
        <v>58</v>
      </c>
      <c r="O3" s="6"/>
      <c r="P3" s="2" t="s">
        <v>185</v>
      </c>
      <c r="Q3" s="2" t="s">
        <v>185</v>
      </c>
      <c r="R3" s="6"/>
      <c r="S3" s="2" t="s">
        <v>14</v>
      </c>
      <c r="T3" s="2" t="s">
        <v>54</v>
      </c>
      <c r="U3" s="2" t="s">
        <v>37</v>
      </c>
      <c r="W3" s="2" t="s">
        <v>54</v>
      </c>
      <c r="X3" s="2" t="s">
        <v>14</v>
      </c>
      <c r="Y3" s="2" t="s">
        <v>116</v>
      </c>
      <c r="AA3" s="2" t="s">
        <v>54</v>
      </c>
      <c r="AB3" s="2" t="s">
        <v>14</v>
      </c>
      <c r="AC3" s="6"/>
      <c r="AD3" s="13" t="s">
        <v>58</v>
      </c>
      <c r="AE3" s="13" t="s">
        <v>58</v>
      </c>
      <c r="AF3" s="13" t="s">
        <v>58</v>
      </c>
      <c r="AL3" s="2" t="s">
        <v>58</v>
      </c>
      <c r="AM3" s="2" t="s">
        <v>58</v>
      </c>
      <c r="AQ3" s="2" t="s">
        <v>58</v>
      </c>
      <c r="AR3" s="6"/>
    </row>
    <row r="4" spans="1:44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6"/>
      <c r="M4" s="2" t="s">
        <v>103</v>
      </c>
      <c r="N4" s="2" t="s">
        <v>108</v>
      </c>
      <c r="O4" s="6"/>
      <c r="P4" s="2" t="s">
        <v>185</v>
      </c>
      <c r="Q4" s="2" t="s">
        <v>185</v>
      </c>
      <c r="R4" s="6"/>
      <c r="S4" s="2" t="s">
        <v>10</v>
      </c>
      <c r="T4" s="2" t="s">
        <v>9</v>
      </c>
      <c r="U4" s="2" t="s">
        <v>13</v>
      </c>
      <c r="AC4" s="6"/>
      <c r="AD4" s="13" t="s">
        <v>79</v>
      </c>
      <c r="AE4" s="13" t="s">
        <v>80</v>
      </c>
      <c r="AF4" s="13" t="s">
        <v>81</v>
      </c>
      <c r="AL4" s="2" t="s">
        <v>79</v>
      </c>
      <c r="AM4" s="2" t="s">
        <v>80</v>
      </c>
      <c r="AO4" s="2" t="s">
        <v>79</v>
      </c>
      <c r="AQ4" s="2" t="s">
        <v>79</v>
      </c>
      <c r="AR4" s="6"/>
    </row>
    <row r="5" spans="1:44" s="11" customFormat="1" ht="34" x14ac:dyDescent="0.2">
      <c r="A5" s="15" t="s">
        <v>90</v>
      </c>
      <c r="B5" s="11" t="s">
        <v>122</v>
      </c>
      <c r="C5" s="2"/>
      <c r="D5" s="11" t="s">
        <v>123</v>
      </c>
      <c r="E5" s="11" t="s">
        <v>123</v>
      </c>
      <c r="G5" s="11" t="s">
        <v>124</v>
      </c>
      <c r="H5" s="11" t="s">
        <v>124</v>
      </c>
      <c r="I5" s="2"/>
      <c r="J5" s="2"/>
      <c r="K5" s="2"/>
      <c r="L5" s="16"/>
      <c r="M5" s="11" t="s">
        <v>107</v>
      </c>
      <c r="N5" s="11" t="s">
        <v>188</v>
      </c>
      <c r="O5" s="16"/>
      <c r="P5" s="11" t="s">
        <v>304</v>
      </c>
      <c r="Q5" s="2" t="s">
        <v>305</v>
      </c>
      <c r="R5" s="16"/>
      <c r="S5" s="11" t="s">
        <v>114</v>
      </c>
      <c r="T5" s="11" t="s">
        <v>115</v>
      </c>
      <c r="U5" s="11" t="s">
        <v>120</v>
      </c>
      <c r="W5" s="2"/>
      <c r="X5" s="2"/>
      <c r="Y5" s="2"/>
      <c r="Z5" s="2"/>
      <c r="AA5" s="2"/>
      <c r="AB5" s="2"/>
      <c r="AC5" s="6"/>
      <c r="AD5" s="17" t="s">
        <v>101</v>
      </c>
      <c r="AE5" s="17" t="s">
        <v>101</v>
      </c>
      <c r="AF5" s="17" t="s">
        <v>101</v>
      </c>
      <c r="AH5" s="11" t="s">
        <v>82</v>
      </c>
      <c r="AI5" s="11" t="s">
        <v>83</v>
      </c>
      <c r="AJ5" s="11" t="s">
        <v>84</v>
      </c>
      <c r="AL5" s="11" t="s">
        <v>101</v>
      </c>
      <c r="AM5" s="11" t="s">
        <v>101</v>
      </c>
      <c r="AO5" s="11" t="s">
        <v>92</v>
      </c>
      <c r="AQ5" s="11" t="s">
        <v>94</v>
      </c>
      <c r="AR5" s="16"/>
    </row>
    <row r="6" spans="1:44" x14ac:dyDescent="0.2">
      <c r="A6" s="2">
        <v>1990</v>
      </c>
      <c r="M6">
        <f t="shared" ref="M6:M37" si="0">AL6/AO6</f>
        <v>2.0959838910301024E-2</v>
      </c>
      <c r="N6">
        <f t="shared" ref="N6:N37" si="1">M6/AQ6</f>
        <v>1.6619623743333447</v>
      </c>
      <c r="P6">
        <v>50</v>
      </c>
      <c r="Q6">
        <v>100</v>
      </c>
      <c r="AF6">
        <v>73271</v>
      </c>
      <c r="AH6">
        <f>SUM(AD6:AE6)/AF6-1</f>
        <v>-1</v>
      </c>
      <c r="AL6">
        <f t="shared" ref="AL6:AM9" si="2">$AF6*AI$39</f>
        <v>62573.440203295941</v>
      </c>
      <c r="AM6">
        <f t="shared" si="2"/>
        <v>10697.55979670407</v>
      </c>
      <c r="AO6">
        <f>PrivateCars.Cap!BB6</f>
        <v>2985397</v>
      </c>
      <c r="AQ6">
        <f>PrivateCars.Act!N6</f>
        <v>1.2611500256561794E-2</v>
      </c>
    </row>
    <row r="7" spans="1:44" x14ac:dyDescent="0.2">
      <c r="A7" s="2">
        <v>1991</v>
      </c>
      <c r="M7">
        <f t="shared" si="0"/>
        <v>2.0874950643568868E-2</v>
      </c>
      <c r="N7">
        <f t="shared" si="1"/>
        <v>1.6529349561812849</v>
      </c>
      <c r="AF7">
        <v>74744</v>
      </c>
      <c r="AH7">
        <f t="shared" ref="AH7:AH37" si="3">SUM(AD7:AE7)/AF7-1</f>
        <v>-1</v>
      </c>
      <c r="AL7">
        <f t="shared" si="2"/>
        <v>63831.382328003601</v>
      </c>
      <c r="AM7">
        <f t="shared" si="2"/>
        <v>10912.617671996411</v>
      </c>
      <c r="AO7">
        <f>PrivateCars.Cap!BB7</f>
        <v>3057798</v>
      </c>
      <c r="AQ7">
        <f>PrivateCars.Act!N7</f>
        <v>1.2629021224038665E-2</v>
      </c>
    </row>
    <row r="8" spans="1:44" x14ac:dyDescent="0.2">
      <c r="A8" s="2">
        <v>1992</v>
      </c>
      <c r="M8">
        <f t="shared" si="0"/>
        <v>2.027016260587923E-2</v>
      </c>
      <c r="N8">
        <f t="shared" si="1"/>
        <v>1.6439015880381007</v>
      </c>
      <c r="AF8">
        <v>73372</v>
      </c>
      <c r="AH8">
        <f t="shared" si="3"/>
        <v>-1</v>
      </c>
      <c r="AL8">
        <f t="shared" si="2"/>
        <v>62659.694211846843</v>
      </c>
      <c r="AM8">
        <f t="shared" si="2"/>
        <v>10712.305788153171</v>
      </c>
      <c r="AO8">
        <f>PrivateCars.Cap!BB8</f>
        <v>3091228</v>
      </c>
      <c r="AQ8">
        <f>PrivateCars.Act!N8</f>
        <v>1.2330520727868187E-2</v>
      </c>
    </row>
    <row r="9" spans="1:44" x14ac:dyDescent="0.2">
      <c r="A9" s="2">
        <v>1993</v>
      </c>
      <c r="M9">
        <f t="shared" si="0"/>
        <v>1.9613980680101714E-2</v>
      </c>
      <c r="N9">
        <f t="shared" si="1"/>
        <v>1.6348977095326076</v>
      </c>
      <c r="AF9">
        <v>71417</v>
      </c>
      <c r="AH9">
        <f t="shared" si="3"/>
        <v>-1</v>
      </c>
      <c r="AL9">
        <f t="shared" si="2"/>
        <v>60990.124046331919</v>
      </c>
      <c r="AM9">
        <f t="shared" si="2"/>
        <v>10426.87595366809</v>
      </c>
      <c r="AO9">
        <f>PrivateCars.Cap!BB9</f>
        <v>3109523</v>
      </c>
      <c r="AQ9">
        <f>PrivateCars.Act!N9</f>
        <v>1.199706903113165E-2</v>
      </c>
    </row>
    <row r="10" spans="1:44" x14ac:dyDescent="0.2">
      <c r="A10" s="2">
        <v>1994</v>
      </c>
      <c r="M10">
        <f t="shared" si="0"/>
        <v>1.8338969384040529E-2</v>
      </c>
      <c r="N10">
        <f t="shared" si="1"/>
        <v>1.6359409990814882</v>
      </c>
      <c r="AD10">
        <v>58043.6083372024</v>
      </c>
      <c r="AE10">
        <v>10314</v>
      </c>
      <c r="AF10">
        <v>68357.77548553118</v>
      </c>
      <c r="AH10">
        <f t="shared" si="3"/>
        <v>-2.4451984809159555E-6</v>
      </c>
      <c r="AI10">
        <f t="shared" ref="AI10:AI37" si="4">AD10/SUM($AD10:$AE10)</f>
        <v>0.84911701490312685</v>
      </c>
      <c r="AJ10">
        <f t="shared" ref="AJ10:AJ37" si="5">AE10/SUM($AD10:$AE10)</f>
        <v>0.15088298509687312</v>
      </c>
      <c r="AL10">
        <f>AD10</f>
        <v>58043.6083372024</v>
      </c>
      <c r="AM10">
        <f>AE10</f>
        <v>10314</v>
      </c>
      <c r="AO10">
        <f>PrivateCars.Cap!BB10</f>
        <v>3165042</v>
      </c>
      <c r="AQ10">
        <f>PrivateCars.Act!N10</f>
        <v>1.1210043268270119E-2</v>
      </c>
    </row>
    <row r="11" spans="1:44" x14ac:dyDescent="0.2">
      <c r="A11" s="2">
        <v>1995</v>
      </c>
      <c r="M11">
        <f t="shared" si="0"/>
        <v>1.8353037441059299E-2</v>
      </c>
      <c r="N11">
        <f t="shared" si="1"/>
        <v>1.627796211649325</v>
      </c>
      <c r="AD11">
        <v>59265.188031770107</v>
      </c>
      <c r="AE11">
        <v>10320</v>
      </c>
      <c r="AF11">
        <v>69585.522328427673</v>
      </c>
      <c r="AH11">
        <f t="shared" si="3"/>
        <v>-4.8041122114872437E-6</v>
      </c>
      <c r="AI11">
        <f t="shared" si="4"/>
        <v>0.85169257579230417</v>
      </c>
      <c r="AJ11">
        <f t="shared" si="5"/>
        <v>0.14830742420769569</v>
      </c>
      <c r="AL11">
        <f t="shared" ref="AL11:AM37" si="6">AD11</f>
        <v>59265.188031770107</v>
      </c>
      <c r="AM11">
        <f t="shared" si="6"/>
        <v>10320</v>
      </c>
      <c r="AO11">
        <f>PrivateCars.Cap!BB11</f>
        <v>3229176</v>
      </c>
      <c r="AQ11">
        <f>PrivateCars.Act!N11</f>
        <v>1.1274775865501942E-2</v>
      </c>
    </row>
    <row r="12" spans="1:44" x14ac:dyDescent="0.2">
      <c r="A12" s="2">
        <v>1996</v>
      </c>
      <c r="D12">
        <f t="shared" ref="D12:D37" si="7">1/S12/10000</f>
        <v>1.1086474501108647E-5</v>
      </c>
      <c r="G12">
        <f t="shared" ref="G12:G37" si="8">1/T12/10000</f>
        <v>1.3003901170351104E-5</v>
      </c>
      <c r="M12">
        <f t="shared" si="0"/>
        <v>1.8496282107728454E-2</v>
      </c>
      <c r="N12">
        <f t="shared" si="1"/>
        <v>1.6201500029414151</v>
      </c>
      <c r="S12">
        <v>9.02</v>
      </c>
      <c r="T12">
        <v>7.69</v>
      </c>
      <c r="AD12">
        <v>60447.570082292601</v>
      </c>
      <c r="AE12">
        <v>10327</v>
      </c>
      <c r="AF12">
        <v>70774.071527278953</v>
      </c>
      <c r="AH12">
        <f t="shared" si="3"/>
        <v>7.0443172603962267E-6</v>
      </c>
      <c r="AI12">
        <f t="shared" si="4"/>
        <v>0.85408600874590468</v>
      </c>
      <c r="AJ12">
        <f t="shared" si="5"/>
        <v>0.14591399125409535</v>
      </c>
      <c r="AL12">
        <f t="shared" si="6"/>
        <v>60447.570082292601</v>
      </c>
      <c r="AM12">
        <f t="shared" si="6"/>
        <v>10327</v>
      </c>
      <c r="AO12">
        <f>PrivateCars.Cap!BB12</f>
        <v>3268093</v>
      </c>
      <c r="AQ12">
        <f>PrivateCars.Act!N12</f>
        <v>1.1416400996295454E-2</v>
      </c>
    </row>
    <row r="13" spans="1:44" x14ac:dyDescent="0.2">
      <c r="A13" s="2">
        <v>1997</v>
      </c>
      <c r="D13">
        <f t="shared" si="7"/>
        <v>1.1286681715575622E-5</v>
      </c>
      <c r="G13">
        <f t="shared" si="8"/>
        <v>1.295336787564767E-5</v>
      </c>
      <c r="M13">
        <f t="shared" si="0"/>
        <v>1.8487093575705583E-2</v>
      </c>
      <c r="N13">
        <f t="shared" si="1"/>
        <v>1.6129948320503564</v>
      </c>
      <c r="S13">
        <v>8.86</v>
      </c>
      <c r="T13">
        <v>7.72</v>
      </c>
      <c r="AD13">
        <v>61441.0235796466</v>
      </c>
      <c r="AE13">
        <v>9965</v>
      </c>
      <c r="AF13">
        <v>71405.89684469717</v>
      </c>
      <c r="AH13">
        <f t="shared" si="3"/>
        <v>1.7748527085803545E-6</v>
      </c>
      <c r="AI13">
        <f t="shared" si="4"/>
        <v>0.86044594698814181</v>
      </c>
      <c r="AJ13">
        <f t="shared" si="5"/>
        <v>0.13955405301185822</v>
      </c>
      <c r="AL13">
        <f t="shared" si="6"/>
        <v>61441.0235796466</v>
      </c>
      <c r="AM13">
        <f t="shared" si="6"/>
        <v>9965</v>
      </c>
      <c r="AO13">
        <f>PrivateCars.Cap!BB13</f>
        <v>3323455</v>
      </c>
      <c r="AQ13">
        <f>PrivateCars.Act!N13</f>
        <v>1.1461347059745837E-2</v>
      </c>
    </row>
    <row r="14" spans="1:44" x14ac:dyDescent="0.2">
      <c r="A14" s="2">
        <v>1998</v>
      </c>
      <c r="D14">
        <f t="shared" si="7"/>
        <v>1.1376564277588169E-5</v>
      </c>
      <c r="G14">
        <f t="shared" si="8"/>
        <v>1.349527665317139E-5</v>
      </c>
      <c r="M14">
        <f t="shared" si="0"/>
        <v>1.8470906136264339E-2</v>
      </c>
      <c r="N14">
        <f t="shared" si="1"/>
        <v>1.6062654456809142</v>
      </c>
      <c r="S14">
        <v>8.7899999999999991</v>
      </c>
      <c r="T14">
        <v>7.41</v>
      </c>
      <c r="AD14">
        <v>62492.746027166097</v>
      </c>
      <c r="AE14">
        <v>10047</v>
      </c>
      <c r="AF14">
        <v>72539.70313817721</v>
      </c>
      <c r="AH14">
        <f t="shared" si="3"/>
        <v>5.9124847529012925E-7</v>
      </c>
      <c r="AI14">
        <f t="shared" si="4"/>
        <v>0.86149662012550465</v>
      </c>
      <c r="AJ14">
        <f t="shared" si="5"/>
        <v>0.13850337987449535</v>
      </c>
      <c r="AL14">
        <f t="shared" si="6"/>
        <v>62492.746027166097</v>
      </c>
      <c r="AM14">
        <f t="shared" si="6"/>
        <v>10047</v>
      </c>
      <c r="AO14">
        <f>PrivateCars.Cap!BB14</f>
        <v>3383307</v>
      </c>
      <c r="AQ14">
        <f>PrivateCars.Act!N14</f>
        <v>1.1499286239351498E-2</v>
      </c>
    </row>
    <row r="15" spans="1:44" x14ac:dyDescent="0.2">
      <c r="A15" s="2">
        <v>1999</v>
      </c>
      <c r="D15">
        <f t="shared" si="7"/>
        <v>1.1481056257175659E-5</v>
      </c>
      <c r="G15">
        <f t="shared" si="8"/>
        <v>1.36986301369863E-5</v>
      </c>
      <c r="M15">
        <f t="shared" si="0"/>
        <v>1.8373560557626442E-2</v>
      </c>
      <c r="N15">
        <f t="shared" si="1"/>
        <v>1.5998922064513665</v>
      </c>
      <c r="S15">
        <v>8.7100000000000009</v>
      </c>
      <c r="T15">
        <v>7.3</v>
      </c>
      <c r="AD15">
        <v>63706.848630624299</v>
      </c>
      <c r="AE15">
        <v>9825</v>
      </c>
      <c r="AF15">
        <v>73531.423860912342</v>
      </c>
      <c r="AH15">
        <f t="shared" si="3"/>
        <v>5.7767100056782539E-6</v>
      </c>
      <c r="AI15">
        <f t="shared" si="4"/>
        <v>0.86638442820396988</v>
      </c>
      <c r="AJ15">
        <f t="shared" si="5"/>
        <v>0.13361557179603012</v>
      </c>
      <c r="AL15">
        <f t="shared" si="6"/>
        <v>63706.848630624299</v>
      </c>
      <c r="AM15">
        <f t="shared" si="6"/>
        <v>9825</v>
      </c>
      <c r="AO15">
        <f>PrivateCars.Cap!BB15</f>
        <v>3467311</v>
      </c>
      <c r="AQ15">
        <f>PrivateCars.Act!N15</f>
        <v>1.1484249053490818E-2</v>
      </c>
    </row>
    <row r="16" spans="1:44" x14ac:dyDescent="0.2">
      <c r="A16" s="2">
        <v>2000</v>
      </c>
      <c r="D16">
        <f t="shared" si="7"/>
        <v>1.1655011655011655E-5</v>
      </c>
      <c r="G16">
        <f t="shared" si="8"/>
        <v>1.4880952380952381E-5</v>
      </c>
      <c r="M16">
        <f t="shared" si="0"/>
        <v>1.8353551357027171E-2</v>
      </c>
      <c r="N16">
        <f t="shared" si="1"/>
        <v>1.5938163690116243</v>
      </c>
      <c r="S16">
        <v>8.58</v>
      </c>
      <c r="T16">
        <v>6.72</v>
      </c>
      <c r="AD16">
        <v>65067.872887846504</v>
      </c>
      <c r="AE16">
        <v>9916</v>
      </c>
      <c r="AF16">
        <v>74983.981924560503</v>
      </c>
      <c r="AH16">
        <f t="shared" si="3"/>
        <v>-1.4541334188988841E-6</v>
      </c>
      <c r="AI16">
        <f t="shared" si="4"/>
        <v>0.86775823096212468</v>
      </c>
      <c r="AJ16">
        <f t="shared" si="5"/>
        <v>0.13224176903787535</v>
      </c>
      <c r="AL16">
        <f t="shared" si="6"/>
        <v>65067.872887846504</v>
      </c>
      <c r="AM16">
        <f t="shared" si="6"/>
        <v>9916</v>
      </c>
      <c r="AO16">
        <f>PrivateCars.Cap!BB16</f>
        <v>3545247</v>
      </c>
      <c r="AQ16">
        <f>PrivateCars.Act!N16</f>
        <v>1.1515474250279401E-2</v>
      </c>
    </row>
    <row r="17" spans="1:43" x14ac:dyDescent="0.2">
      <c r="A17" s="2">
        <v>2001</v>
      </c>
      <c r="D17">
        <f t="shared" si="7"/>
        <v>1.172332942555686E-5</v>
      </c>
      <c r="G17">
        <f t="shared" si="8"/>
        <v>1.4992503748125937E-5</v>
      </c>
      <c r="M17">
        <f t="shared" si="0"/>
        <v>1.8112519322719591E-2</v>
      </c>
      <c r="N17">
        <f t="shared" si="1"/>
        <v>1.5906754879369145</v>
      </c>
      <c r="S17">
        <v>8.5299999999999994</v>
      </c>
      <c r="T17">
        <v>6.67</v>
      </c>
      <c r="AD17">
        <v>65743.246848426497</v>
      </c>
      <c r="AE17">
        <v>9750</v>
      </c>
      <c r="AF17">
        <v>75493.593174665788</v>
      </c>
      <c r="AH17">
        <f t="shared" si="3"/>
        <v>-4.5874917953270256E-6</v>
      </c>
      <c r="AI17">
        <f t="shared" si="4"/>
        <v>0.87084937518218264</v>
      </c>
      <c r="AJ17">
        <f t="shared" si="5"/>
        <v>0.12915062481781731</v>
      </c>
      <c r="AL17">
        <f t="shared" si="6"/>
        <v>65743.246848426497</v>
      </c>
      <c r="AM17">
        <f t="shared" si="6"/>
        <v>9750</v>
      </c>
      <c r="AO17">
        <f>PrivateCars.Cap!BB17</f>
        <v>3629713</v>
      </c>
      <c r="AQ17">
        <f>PrivateCars.Act!N17</f>
        <v>1.1386684122612145E-2</v>
      </c>
    </row>
    <row r="18" spans="1:43" x14ac:dyDescent="0.2">
      <c r="A18" s="2">
        <v>2002</v>
      </c>
      <c r="D18">
        <f t="shared" si="7"/>
        <v>1.1904761904761903E-5</v>
      </c>
      <c r="G18">
        <f t="shared" si="8"/>
        <v>1.4880952380952381E-5</v>
      </c>
      <c r="M18">
        <f t="shared" si="0"/>
        <v>1.8024909172544571E-2</v>
      </c>
      <c r="N18">
        <f t="shared" si="1"/>
        <v>1.587189549799211</v>
      </c>
      <c r="S18">
        <v>8.4</v>
      </c>
      <c r="T18">
        <v>6.72</v>
      </c>
      <c r="AD18">
        <v>66709.305627038004</v>
      </c>
      <c r="AE18">
        <v>9660</v>
      </c>
      <c r="AF18">
        <v>76369.102034796175</v>
      </c>
      <c r="AH18">
        <f t="shared" si="3"/>
        <v>2.665898071407824E-6</v>
      </c>
      <c r="AI18">
        <f t="shared" si="4"/>
        <v>0.87350939070762024</v>
      </c>
      <c r="AJ18">
        <f t="shared" si="5"/>
        <v>0.12649060929237971</v>
      </c>
      <c r="AL18">
        <f t="shared" si="6"/>
        <v>66709.305627038004</v>
      </c>
      <c r="AM18">
        <f t="shared" si="6"/>
        <v>9660</v>
      </c>
      <c r="AO18">
        <f>PrivateCars.Cap!BB18</f>
        <v>3700951</v>
      </c>
      <c r="AQ18">
        <f>PrivateCars.Act!N18</f>
        <v>1.135649436125939E-2</v>
      </c>
    </row>
    <row r="19" spans="1:43" x14ac:dyDescent="0.2">
      <c r="A19" s="2">
        <v>2003</v>
      </c>
      <c r="D19">
        <f t="shared" si="7"/>
        <v>1.1990407673860912E-5</v>
      </c>
      <c r="G19">
        <f t="shared" si="8"/>
        <v>1.4836795252225518E-5</v>
      </c>
      <c r="M19">
        <f t="shared" si="0"/>
        <v>1.7953144435876759E-2</v>
      </c>
      <c r="N19">
        <f t="shared" si="1"/>
        <v>1.5834524958984122</v>
      </c>
      <c r="S19">
        <v>8.34</v>
      </c>
      <c r="T19">
        <v>6.74</v>
      </c>
      <c r="AD19">
        <v>67394.129366393405</v>
      </c>
      <c r="AE19">
        <v>9606</v>
      </c>
      <c r="AF19">
        <v>77000.59830408034</v>
      </c>
      <c r="AH19">
        <f t="shared" si="3"/>
        <v>-6.0900525095108904E-6</v>
      </c>
      <c r="AI19">
        <f t="shared" si="4"/>
        <v>0.87524696284221404</v>
      </c>
      <c r="AJ19">
        <f t="shared" si="5"/>
        <v>0.12475303715778593</v>
      </c>
      <c r="AL19">
        <f t="shared" si="6"/>
        <v>67394.129366393405</v>
      </c>
      <c r="AM19">
        <f t="shared" si="6"/>
        <v>9606</v>
      </c>
      <c r="AO19">
        <f>PrivateCars.Cap!BB19</f>
        <v>3753890</v>
      </c>
      <c r="AQ19">
        <f>PrivateCars.Act!N19</f>
        <v>1.1337974762350281E-2</v>
      </c>
    </row>
    <row r="20" spans="1:43" x14ac:dyDescent="0.2">
      <c r="A20" s="2">
        <v>2004</v>
      </c>
      <c r="D20">
        <f t="shared" si="7"/>
        <v>1.2150668286755772E-5</v>
      </c>
      <c r="G20">
        <f t="shared" si="8"/>
        <v>1.4992503748125937E-5</v>
      </c>
      <c r="M20">
        <f t="shared" si="0"/>
        <v>1.7837337833627079E-2</v>
      </c>
      <c r="N20">
        <f t="shared" si="1"/>
        <v>1.5795519905141138</v>
      </c>
      <c r="S20">
        <v>8.23</v>
      </c>
      <c r="T20">
        <v>6.67</v>
      </c>
      <c r="AD20">
        <v>67984.3553895324</v>
      </c>
      <c r="AE20">
        <v>9756</v>
      </c>
      <c r="AF20">
        <v>77739.891546797502</v>
      </c>
      <c r="AH20">
        <f t="shared" si="3"/>
        <v>5.9665986877899257E-6</v>
      </c>
      <c r="AI20">
        <f t="shared" si="4"/>
        <v>0.87450533315527357</v>
      </c>
      <c r="AJ20">
        <f t="shared" si="5"/>
        <v>0.1254946668447264</v>
      </c>
      <c r="AL20">
        <f t="shared" si="6"/>
        <v>67984.3553895324</v>
      </c>
      <c r="AM20">
        <f t="shared" si="6"/>
        <v>9756</v>
      </c>
      <c r="AO20">
        <f>PrivateCars.Cap!BB20</f>
        <v>3811351</v>
      </c>
      <c r="AQ20">
        <f>PrivateCars.Act!N20</f>
        <v>1.1292656361264418E-2</v>
      </c>
    </row>
    <row r="21" spans="1:43" x14ac:dyDescent="0.2">
      <c r="A21" s="2">
        <v>2005</v>
      </c>
      <c r="D21">
        <f t="shared" si="7"/>
        <v>1.2360939431396786E-5</v>
      </c>
      <c r="G21">
        <f t="shared" si="8"/>
        <v>1.5082956259426846E-5</v>
      </c>
      <c r="M21">
        <f t="shared" si="0"/>
        <v>1.7618583398348101E-2</v>
      </c>
      <c r="N21">
        <f t="shared" si="1"/>
        <v>1.5742273401858171</v>
      </c>
      <c r="S21">
        <v>8.09</v>
      </c>
      <c r="T21">
        <v>6.63</v>
      </c>
      <c r="AD21">
        <v>68033.137914884093</v>
      </c>
      <c r="AE21">
        <v>9811</v>
      </c>
      <c r="AF21">
        <v>77843.666860328784</v>
      </c>
      <c r="AH21">
        <f t="shared" si="3"/>
        <v>6.0512893895747766E-6</v>
      </c>
      <c r="AI21">
        <f t="shared" si="4"/>
        <v>0.87396610377100603</v>
      </c>
      <c r="AJ21">
        <f t="shared" si="5"/>
        <v>0.126033896228994</v>
      </c>
      <c r="AL21">
        <f t="shared" si="6"/>
        <v>68033.137914884093</v>
      </c>
      <c r="AM21">
        <f t="shared" si="6"/>
        <v>9811</v>
      </c>
      <c r="AO21">
        <f>PrivateCars.Cap!BB21</f>
        <v>3861442</v>
      </c>
      <c r="AQ21">
        <f>PrivateCars.Act!N21</f>
        <v>1.1191892650186381E-2</v>
      </c>
    </row>
    <row r="22" spans="1:43" x14ac:dyDescent="0.2">
      <c r="A22" s="2">
        <v>2006</v>
      </c>
      <c r="D22">
        <f t="shared" si="7"/>
        <v>1.251564455569462E-5</v>
      </c>
      <c r="E22">
        <f t="shared" ref="E22:E34" si="9">D22/$AB$39</f>
        <v>1.6862040205094498E-5</v>
      </c>
      <c r="G22">
        <f t="shared" si="8"/>
        <v>1.4727540500736378E-5</v>
      </c>
      <c r="H22">
        <f t="shared" ref="H22:H34" si="10">G22/$AA$39</f>
        <v>2.2514008481097408E-5</v>
      </c>
      <c r="M22">
        <f t="shared" si="0"/>
        <v>1.7656077008106969E-2</v>
      </c>
      <c r="N22">
        <f t="shared" si="1"/>
        <v>1.5770757432902991</v>
      </c>
      <c r="S22">
        <v>7.99</v>
      </c>
      <c r="T22">
        <v>6.79</v>
      </c>
      <c r="W22">
        <v>7.5</v>
      </c>
      <c r="X22">
        <v>6.5</v>
      </c>
      <c r="Y22">
        <v>3.8</v>
      </c>
      <c r="AA22">
        <f>Y22/W22</f>
        <v>0.5066666666666666</v>
      </c>
      <c r="AB22">
        <f>Y22/X22</f>
        <v>0.58461538461538454</v>
      </c>
      <c r="AD22">
        <v>68858.947516695291</v>
      </c>
      <c r="AE22">
        <v>9535</v>
      </c>
      <c r="AF22">
        <v>78393.953223730656</v>
      </c>
      <c r="AH22">
        <f t="shared" si="3"/>
        <v>-7.2799433259440605E-8</v>
      </c>
      <c r="AI22">
        <f t="shared" si="4"/>
        <v>0.87837071225467545</v>
      </c>
      <c r="AJ22">
        <f t="shared" si="5"/>
        <v>0.12162928774532451</v>
      </c>
      <c r="AL22">
        <f t="shared" si="6"/>
        <v>68858.947516695291</v>
      </c>
      <c r="AM22">
        <f t="shared" si="6"/>
        <v>9535</v>
      </c>
      <c r="AO22">
        <f>PrivateCars.Cap!BB22</f>
        <v>3900014</v>
      </c>
      <c r="AQ22">
        <f>PrivateCars.Act!N22</f>
        <v>1.1195452775952651E-2</v>
      </c>
    </row>
    <row r="23" spans="1:43" x14ac:dyDescent="0.2">
      <c r="A23" s="2">
        <v>2007</v>
      </c>
      <c r="D23">
        <f t="shared" si="7"/>
        <v>1.2936610608020698E-5</v>
      </c>
      <c r="E23">
        <f t="shared" si="9"/>
        <v>1.742919809038875E-5</v>
      </c>
      <c r="G23">
        <f t="shared" si="8"/>
        <v>1.4684287812041117E-5</v>
      </c>
      <c r="H23">
        <f t="shared" si="10"/>
        <v>2.2447888045029572E-5</v>
      </c>
      <c r="M23">
        <f t="shared" si="0"/>
        <v>1.758764216922756E-2</v>
      </c>
      <c r="N23">
        <f t="shared" si="1"/>
        <v>1.5810502599514888</v>
      </c>
      <c r="S23">
        <v>7.73</v>
      </c>
      <c r="T23">
        <v>6.81</v>
      </c>
      <c r="W23">
        <v>7.4</v>
      </c>
      <c r="X23">
        <v>6.5</v>
      </c>
      <c r="Y23">
        <v>4</v>
      </c>
      <c r="AA23">
        <f t="shared" ref="AA23:AA34" si="11">Y23/W23</f>
        <v>0.54054054054054046</v>
      </c>
      <c r="AB23">
        <f t="shared" ref="AB23:AB34" si="12">Y23/X23</f>
        <v>0.61538461538461542</v>
      </c>
      <c r="AD23">
        <v>69572.966253682185</v>
      </c>
      <c r="AE23">
        <v>9688</v>
      </c>
      <c r="AF23">
        <v>79260.623932682181</v>
      </c>
      <c r="AH23">
        <f t="shared" si="3"/>
        <v>4.3189289085088234E-6</v>
      </c>
      <c r="AI23">
        <f t="shared" si="4"/>
        <v>0.87777085672924249</v>
      </c>
      <c r="AJ23">
        <f t="shared" si="5"/>
        <v>0.12222914327075757</v>
      </c>
      <c r="AL23">
        <f t="shared" si="6"/>
        <v>69572.966253682185</v>
      </c>
      <c r="AM23">
        <f t="shared" si="6"/>
        <v>9688</v>
      </c>
      <c r="AO23">
        <f>PrivateCars.Cap!BB23</f>
        <v>3955787</v>
      </c>
      <c r="AQ23">
        <f>PrivateCars.Act!N23</f>
        <v>1.1124024716182773E-2</v>
      </c>
    </row>
    <row r="24" spans="1:43" x14ac:dyDescent="0.2">
      <c r="A24" s="2">
        <v>2008</v>
      </c>
      <c r="D24">
        <f t="shared" si="7"/>
        <v>1.3550135501355015E-5</v>
      </c>
      <c r="E24">
        <f t="shared" si="9"/>
        <v>1.8255786075705291E-5</v>
      </c>
      <c r="G24">
        <f t="shared" si="8"/>
        <v>1.5037593984962406E-5</v>
      </c>
      <c r="H24">
        <f t="shared" si="10"/>
        <v>2.2987987607015244E-5</v>
      </c>
      <c r="M24">
        <f t="shared" si="0"/>
        <v>1.7795575641789546E-2</v>
      </c>
      <c r="N24">
        <f t="shared" si="1"/>
        <v>1.5868573677903355</v>
      </c>
      <c r="S24">
        <v>7.38</v>
      </c>
      <c r="T24">
        <v>6.65</v>
      </c>
      <c r="W24">
        <v>7.3</v>
      </c>
      <c r="X24">
        <v>6.4</v>
      </c>
      <c r="Y24">
        <v>4.0999999999999996</v>
      </c>
      <c r="AA24">
        <f t="shared" si="11"/>
        <v>0.56164383561643827</v>
      </c>
      <c r="AB24">
        <f t="shared" si="12"/>
        <v>0.64062499999999989</v>
      </c>
      <c r="AD24">
        <v>71000.983446943996</v>
      </c>
      <c r="AE24">
        <v>10396.100762838683</v>
      </c>
      <c r="AF24">
        <v>81397.084209782683</v>
      </c>
      <c r="AH24">
        <f t="shared" si="3"/>
        <v>0</v>
      </c>
      <c r="AI24">
        <f t="shared" si="4"/>
        <v>0.87227919938698206</v>
      </c>
      <c r="AJ24">
        <f t="shared" si="5"/>
        <v>0.12772080061301791</v>
      </c>
      <c r="AL24">
        <f t="shared" si="6"/>
        <v>71000.983446943996</v>
      </c>
      <c r="AM24">
        <f t="shared" si="6"/>
        <v>10396.100762838683</v>
      </c>
      <c r="AO24">
        <f>PrivateCars.Cap!BB24</f>
        <v>3989811</v>
      </c>
      <c r="AQ24">
        <f>PrivateCars.Act!N24</f>
        <v>1.1214351083468516E-2</v>
      </c>
    </row>
    <row r="25" spans="1:43" x14ac:dyDescent="0.2">
      <c r="A25" s="2">
        <v>2009</v>
      </c>
      <c r="D25">
        <f t="shared" si="7"/>
        <v>1.4245014245014246E-5</v>
      </c>
      <c r="E25">
        <f t="shared" si="9"/>
        <v>1.9191980233433766E-5</v>
      </c>
      <c r="G25">
        <f t="shared" si="8"/>
        <v>1.5432098765432099E-5</v>
      </c>
      <c r="H25">
        <f t="shared" si="10"/>
        <v>2.3591067528804226E-5</v>
      </c>
      <c r="M25">
        <f t="shared" si="0"/>
        <v>1.8149242471905139E-2</v>
      </c>
      <c r="N25">
        <f t="shared" si="1"/>
        <v>1.5941421065031705</v>
      </c>
      <c r="S25">
        <v>7.02</v>
      </c>
      <c r="T25">
        <v>6.48</v>
      </c>
      <c r="W25">
        <v>7.2</v>
      </c>
      <c r="X25">
        <v>6.4</v>
      </c>
      <c r="Y25">
        <v>4.2</v>
      </c>
      <c r="AA25">
        <f t="shared" si="11"/>
        <v>0.58333333333333337</v>
      </c>
      <c r="AB25">
        <f t="shared" si="12"/>
        <v>0.65625</v>
      </c>
      <c r="AD25">
        <v>72771.238913835798</v>
      </c>
      <c r="AE25">
        <v>11115.729092712458</v>
      </c>
      <c r="AF25">
        <v>83886.968006548253</v>
      </c>
      <c r="AH25">
        <f t="shared" si="3"/>
        <v>0</v>
      </c>
      <c r="AI25">
        <f t="shared" si="4"/>
        <v>0.86749158591779407</v>
      </c>
      <c r="AJ25">
        <f t="shared" si="5"/>
        <v>0.13250841408220593</v>
      </c>
      <c r="AL25">
        <f t="shared" si="6"/>
        <v>72771.238913835798</v>
      </c>
      <c r="AM25">
        <f t="shared" si="6"/>
        <v>11115.729092712458</v>
      </c>
      <c r="AO25">
        <f>PrivateCars.Cap!BB25</f>
        <v>4009602</v>
      </c>
      <c r="AQ25">
        <f>PrivateCars.Act!N25</f>
        <v>1.1384958968128883E-2</v>
      </c>
    </row>
    <row r="26" spans="1:43" x14ac:dyDescent="0.2">
      <c r="A26" s="2">
        <v>2010</v>
      </c>
      <c r="D26">
        <f t="shared" si="7"/>
        <v>1.4705882352941177E-5</v>
      </c>
      <c r="E26">
        <f t="shared" si="9"/>
        <v>1.9812897240986033E-5</v>
      </c>
      <c r="G26">
        <f t="shared" si="8"/>
        <v>1.6103059581320449E-5</v>
      </c>
      <c r="H26">
        <f t="shared" si="10"/>
        <v>2.46167661170131E-5</v>
      </c>
      <c r="M26">
        <f t="shared" si="0"/>
        <v>1.8177159121238351E-2</v>
      </c>
      <c r="N26">
        <f t="shared" si="1"/>
        <v>1.6027499464678339</v>
      </c>
      <c r="S26">
        <v>6.8</v>
      </c>
      <c r="T26">
        <v>6.21</v>
      </c>
      <c r="W26">
        <v>7.1</v>
      </c>
      <c r="X26">
        <v>6.2</v>
      </c>
      <c r="Y26">
        <v>4.4000000000000004</v>
      </c>
      <c r="AA26">
        <f t="shared" si="11"/>
        <v>0.61971830985915499</v>
      </c>
      <c r="AB26">
        <f t="shared" si="12"/>
        <v>0.70967741935483875</v>
      </c>
      <c r="AD26">
        <v>74086.919575321299</v>
      </c>
      <c r="AE26">
        <v>11846.613864267718</v>
      </c>
      <c r="AF26">
        <v>85933.533439588995</v>
      </c>
      <c r="AH26">
        <f t="shared" si="3"/>
        <v>0</v>
      </c>
      <c r="AI26">
        <f t="shared" si="4"/>
        <v>0.86214213020117636</v>
      </c>
      <c r="AJ26">
        <f t="shared" si="5"/>
        <v>0.13785786979882361</v>
      </c>
      <c r="AL26">
        <f t="shared" si="6"/>
        <v>74086.919575321299</v>
      </c>
      <c r="AM26">
        <f t="shared" si="6"/>
        <v>11846.613864267718</v>
      </c>
      <c r="AO26">
        <f>PrivateCars.Cap!BB26</f>
        <v>4075825</v>
      </c>
      <c r="AQ26">
        <f>PrivateCars.Act!N26</f>
        <v>1.1341232087573903E-2</v>
      </c>
    </row>
    <row r="27" spans="1:43" x14ac:dyDescent="0.2">
      <c r="A27" s="2">
        <v>2011</v>
      </c>
      <c r="D27">
        <f t="shared" si="7"/>
        <v>1.5197568389057749E-5</v>
      </c>
      <c r="E27">
        <f t="shared" si="9"/>
        <v>2.0475334534757602E-5</v>
      </c>
      <c r="G27">
        <f t="shared" si="8"/>
        <v>1.6666666666666664E-5</v>
      </c>
      <c r="H27">
        <f t="shared" si="10"/>
        <v>2.5478352931108559E-5</v>
      </c>
      <c r="M27">
        <f t="shared" si="0"/>
        <v>1.7807961616992111E-2</v>
      </c>
      <c r="N27">
        <f t="shared" si="1"/>
        <v>1.5952803755147054</v>
      </c>
      <c r="S27">
        <v>6.58</v>
      </c>
      <c r="T27">
        <v>6</v>
      </c>
      <c r="W27">
        <v>7.05</v>
      </c>
      <c r="X27">
        <v>6.1</v>
      </c>
      <c r="Y27">
        <v>4.4000000000000004</v>
      </c>
      <c r="AA27">
        <f t="shared" si="11"/>
        <v>0.62411347517730498</v>
      </c>
      <c r="AB27">
        <f t="shared" si="12"/>
        <v>0.7213114754098362</v>
      </c>
      <c r="AD27">
        <v>74134.597635423008</v>
      </c>
      <c r="AE27">
        <v>12588.866772118845</v>
      </c>
      <c r="AF27">
        <v>86723.464407541847</v>
      </c>
      <c r="AH27">
        <f t="shared" si="3"/>
        <v>0</v>
      </c>
      <c r="AI27">
        <f t="shared" si="4"/>
        <v>0.8548389774541334</v>
      </c>
      <c r="AJ27">
        <f t="shared" si="5"/>
        <v>0.14516102254586663</v>
      </c>
      <c r="AL27">
        <f t="shared" si="6"/>
        <v>74134.597635423008</v>
      </c>
      <c r="AM27">
        <f t="shared" si="6"/>
        <v>12588.866772118845</v>
      </c>
      <c r="AO27">
        <f>PrivateCars.Cap!BB27</f>
        <v>4163003</v>
      </c>
      <c r="AQ27">
        <f>PrivateCars.Act!N27</f>
        <v>1.1162903957397774E-2</v>
      </c>
    </row>
    <row r="28" spans="1:43" x14ac:dyDescent="0.2">
      <c r="A28" s="2">
        <v>2012</v>
      </c>
      <c r="D28">
        <f t="shared" si="7"/>
        <v>1.5552099533437014E-5</v>
      </c>
      <c r="E28">
        <f t="shared" si="9"/>
        <v>2.095298619575506E-5</v>
      </c>
      <c r="G28">
        <f t="shared" si="8"/>
        <v>1.7152658662092625E-5</v>
      </c>
      <c r="H28">
        <f t="shared" si="10"/>
        <v>2.622128946597794E-5</v>
      </c>
      <c r="M28">
        <f t="shared" si="0"/>
        <v>1.7582257780035231E-2</v>
      </c>
      <c r="N28">
        <f t="shared" si="1"/>
        <v>1.5881061022973417</v>
      </c>
      <c r="S28">
        <v>6.43</v>
      </c>
      <c r="T28">
        <v>5.83</v>
      </c>
      <c r="W28">
        <v>7</v>
      </c>
      <c r="X28">
        <v>6</v>
      </c>
      <c r="Y28">
        <v>4.5</v>
      </c>
      <c r="AA28">
        <f t="shared" si="11"/>
        <v>0.6428571428571429</v>
      </c>
      <c r="AB28">
        <f t="shared" si="12"/>
        <v>0.75</v>
      </c>
      <c r="AD28">
        <v>74807.671733160401</v>
      </c>
      <c r="AE28">
        <v>13342.651161725471</v>
      </c>
      <c r="AF28">
        <v>88150.322894885874</v>
      </c>
      <c r="AH28">
        <f t="shared" si="3"/>
        <v>0</v>
      </c>
      <c r="AI28">
        <f t="shared" si="4"/>
        <v>0.84863752368059042</v>
      </c>
      <c r="AJ28">
        <f t="shared" si="5"/>
        <v>0.15136247631940958</v>
      </c>
      <c r="AL28">
        <f t="shared" si="6"/>
        <v>74807.671733160401</v>
      </c>
      <c r="AM28">
        <f t="shared" si="6"/>
        <v>13342.651161725471</v>
      </c>
      <c r="AO28">
        <f>PrivateCars.Cap!BB28</f>
        <v>4254725</v>
      </c>
      <c r="AQ28">
        <f>PrivateCars.Act!N28</f>
        <v>1.1071211019591749E-2</v>
      </c>
    </row>
    <row r="29" spans="1:43" x14ac:dyDescent="0.2">
      <c r="A29" s="2">
        <v>2013</v>
      </c>
      <c r="B29">
        <f>1/U29/10000</f>
        <v>6.4910630297733835E-6</v>
      </c>
      <c r="D29">
        <f t="shared" si="7"/>
        <v>1.607717041800643E-5</v>
      </c>
      <c r="E29">
        <f t="shared" si="9"/>
        <v>2.1660402128409167E-5</v>
      </c>
      <c r="G29">
        <f t="shared" si="8"/>
        <v>1.7667844522968198E-5</v>
      </c>
      <c r="H29">
        <f t="shared" si="10"/>
        <v>2.7008854697288231E-5</v>
      </c>
      <c r="M29">
        <f t="shared" si="0"/>
        <v>1.744065436184717E-2</v>
      </c>
      <c r="N29">
        <f t="shared" si="1"/>
        <v>1.580437033556165</v>
      </c>
      <c r="S29">
        <v>6.22</v>
      </c>
      <c r="T29">
        <v>5.66</v>
      </c>
      <c r="U29">
        <v>15.405797099999999</v>
      </c>
      <c r="W29">
        <v>6.65</v>
      </c>
      <c r="X29">
        <v>5.9</v>
      </c>
      <c r="Y29">
        <v>4.5999999999999996</v>
      </c>
      <c r="AA29">
        <f t="shared" si="11"/>
        <v>0.69172932330827064</v>
      </c>
      <c r="AB29">
        <f t="shared" si="12"/>
        <v>0.77966101694915246</v>
      </c>
      <c r="AD29">
        <v>75359.061822290008</v>
      </c>
      <c r="AE29">
        <v>14108.180880181928</v>
      </c>
      <c r="AF29">
        <v>89467.242702471936</v>
      </c>
      <c r="AH29">
        <f t="shared" si="3"/>
        <v>0</v>
      </c>
      <c r="AI29">
        <f t="shared" si="4"/>
        <v>0.84230897863814325</v>
      </c>
      <c r="AJ29">
        <f t="shared" si="5"/>
        <v>0.15769102136185678</v>
      </c>
      <c r="AL29">
        <f t="shared" si="6"/>
        <v>75359.061822290008</v>
      </c>
      <c r="AM29">
        <f t="shared" si="6"/>
        <v>14108.180880181928</v>
      </c>
      <c r="AO29">
        <f>PrivateCars.Cap!BB29</f>
        <v>4320885</v>
      </c>
      <c r="AQ29">
        <f>PrivateCars.Act!N29</f>
        <v>1.1035336423750899E-2</v>
      </c>
    </row>
    <row r="30" spans="1:43" x14ac:dyDescent="0.2">
      <c r="A30" s="2">
        <v>2014</v>
      </c>
      <c r="B30">
        <f t="shared" ref="B30:B37" si="13">1/U30/10000</f>
        <v>6.3042485314316079E-6</v>
      </c>
      <c r="D30">
        <f t="shared" si="7"/>
        <v>1.6339869281045753E-5</v>
      </c>
      <c r="E30">
        <f t="shared" si="9"/>
        <v>2.2014330267762262E-5</v>
      </c>
      <c r="G30">
        <f t="shared" si="8"/>
        <v>1.8018018018018019E-5</v>
      </c>
      <c r="H30">
        <f t="shared" si="10"/>
        <v>2.7544165330928177E-5</v>
      </c>
      <c r="M30">
        <f t="shared" si="0"/>
        <v>1.7292421860229969E-2</v>
      </c>
      <c r="N30">
        <f t="shared" si="1"/>
        <v>1.5720933219641362</v>
      </c>
      <c r="S30">
        <v>6.12</v>
      </c>
      <c r="T30">
        <v>5.55</v>
      </c>
      <c r="U30">
        <v>15.862318800000001</v>
      </c>
      <c r="W30">
        <v>6.3</v>
      </c>
      <c r="X30">
        <v>5.8</v>
      </c>
      <c r="Y30">
        <v>4.8</v>
      </c>
      <c r="AA30">
        <f t="shared" si="11"/>
        <v>0.76190476190476186</v>
      </c>
      <c r="AB30">
        <f t="shared" si="12"/>
        <v>0.82758620689655171</v>
      </c>
      <c r="AD30">
        <v>75818.4507219597</v>
      </c>
      <c r="AE30">
        <v>14885.719127006545</v>
      </c>
      <c r="AF30">
        <v>90704.169848966238</v>
      </c>
      <c r="AH30">
        <f t="shared" si="3"/>
        <v>0</v>
      </c>
      <c r="AI30">
        <f t="shared" si="4"/>
        <v>0.83588715764894694</v>
      </c>
      <c r="AJ30">
        <f t="shared" si="5"/>
        <v>0.16411284235105317</v>
      </c>
      <c r="AL30">
        <f t="shared" si="6"/>
        <v>75818.4507219597</v>
      </c>
      <c r="AM30">
        <f t="shared" si="6"/>
        <v>14885.719127006545</v>
      </c>
      <c r="AO30">
        <f>PrivateCars.Cap!BB30</f>
        <v>4384490</v>
      </c>
      <c r="AQ30">
        <f>PrivateCars.Act!N30</f>
        <v>1.0999615365470306E-2</v>
      </c>
    </row>
    <row r="31" spans="1:43" x14ac:dyDescent="0.2">
      <c r="A31" s="2">
        <v>2015</v>
      </c>
      <c r="B31">
        <f t="shared" si="13"/>
        <v>5.5421686626796339E-6</v>
      </c>
      <c r="D31">
        <f t="shared" si="7"/>
        <v>1.7006802721088435E-5</v>
      </c>
      <c r="E31">
        <f t="shared" si="9"/>
        <v>2.2912874360323985E-5</v>
      </c>
      <c r="G31">
        <f t="shared" si="8"/>
        <v>1.8796992481203007E-5</v>
      </c>
      <c r="H31">
        <f t="shared" si="10"/>
        <v>2.8734984508769054E-5</v>
      </c>
      <c r="M31">
        <f t="shared" si="0"/>
        <v>1.7119353679597576E-2</v>
      </c>
      <c r="N31">
        <f t="shared" si="1"/>
        <v>1.5638595650126308</v>
      </c>
      <c r="S31">
        <v>5.88</v>
      </c>
      <c r="T31">
        <v>5.32</v>
      </c>
      <c r="U31">
        <v>18.0434783</v>
      </c>
      <c r="W31">
        <v>6.1999999999999993</v>
      </c>
      <c r="X31">
        <v>5.6</v>
      </c>
      <c r="Y31">
        <v>4.5999999999999996</v>
      </c>
      <c r="AA31">
        <f t="shared" si="11"/>
        <v>0.74193548387096775</v>
      </c>
      <c r="AB31">
        <f t="shared" si="12"/>
        <v>0.8214285714285714</v>
      </c>
      <c r="AD31">
        <v>76319.259939049894</v>
      </c>
      <c r="AE31">
        <v>15675.597658999999</v>
      </c>
      <c r="AF31">
        <v>91994.857598049886</v>
      </c>
      <c r="AH31">
        <f t="shared" si="3"/>
        <v>0</v>
      </c>
      <c r="AI31">
        <f t="shared" si="4"/>
        <v>0.82960354449929297</v>
      </c>
      <c r="AJ31">
        <f t="shared" si="5"/>
        <v>0.17039645550070714</v>
      </c>
      <c r="AL31">
        <f t="shared" si="6"/>
        <v>76319.259939049894</v>
      </c>
      <c r="AM31">
        <f t="shared" si="6"/>
        <v>15675.597658999999</v>
      </c>
      <c r="AO31">
        <f>PrivateCars.Cap!BB31</f>
        <v>4458069</v>
      </c>
      <c r="AQ31">
        <f>PrivateCars.Act!N31</f>
        <v>1.0946861254424281E-2</v>
      </c>
    </row>
    <row r="32" spans="1:43" x14ac:dyDescent="0.2">
      <c r="A32" s="2">
        <v>2016</v>
      </c>
      <c r="B32">
        <f t="shared" si="13"/>
        <v>5.7190219795282809E-6</v>
      </c>
      <c r="D32">
        <f t="shared" si="7"/>
        <v>1.7006802721088435E-5</v>
      </c>
      <c r="E32">
        <f t="shared" si="9"/>
        <v>2.2912874360323985E-5</v>
      </c>
      <c r="G32">
        <f t="shared" si="8"/>
        <v>1.9267822736030827E-5</v>
      </c>
      <c r="H32">
        <f t="shared" si="10"/>
        <v>2.9454743272957874E-5</v>
      </c>
      <c r="M32">
        <f t="shared" si="0"/>
        <v>1.7162553365813436E-2</v>
      </c>
      <c r="N32">
        <f t="shared" si="1"/>
        <v>1.5655707775003618</v>
      </c>
      <c r="S32">
        <v>5.88</v>
      </c>
      <c r="T32">
        <v>5.19</v>
      </c>
      <c r="U32">
        <v>17.485507200000001</v>
      </c>
      <c r="W32">
        <v>6.1</v>
      </c>
      <c r="X32">
        <v>5.4</v>
      </c>
      <c r="Y32">
        <v>4.4000000000000004</v>
      </c>
      <c r="AA32">
        <f t="shared" si="11"/>
        <v>0.7213114754098362</v>
      </c>
      <c r="AB32">
        <f t="shared" si="12"/>
        <v>0.81481481481481488</v>
      </c>
      <c r="AD32">
        <v>77643.889140987594</v>
      </c>
      <c r="AE32">
        <v>16325.942092255615</v>
      </c>
      <c r="AF32">
        <v>93969.831233243211</v>
      </c>
      <c r="AH32">
        <f t="shared" si="3"/>
        <v>0</v>
      </c>
      <c r="AI32">
        <f t="shared" si="4"/>
        <v>0.82626400539410494</v>
      </c>
      <c r="AJ32">
        <f t="shared" si="5"/>
        <v>0.17373599460589509</v>
      </c>
      <c r="AL32">
        <f t="shared" si="6"/>
        <v>77643.889140987594</v>
      </c>
      <c r="AM32">
        <f t="shared" si="6"/>
        <v>16325.942092255615</v>
      </c>
      <c r="AO32">
        <f>PrivateCars.Cap!BB32</f>
        <v>4524029</v>
      </c>
      <c r="AQ32">
        <f>PrivateCars.Act!N32</f>
        <v>1.0962489599617906E-2</v>
      </c>
    </row>
    <row r="33" spans="1:43" x14ac:dyDescent="0.2">
      <c r="A33" s="2">
        <v>2017</v>
      </c>
      <c r="B33">
        <f t="shared" si="13"/>
        <v>6.1088977488540743E-6</v>
      </c>
      <c r="D33">
        <f t="shared" si="7"/>
        <v>1.6778523489932888E-5</v>
      </c>
      <c r="E33">
        <f t="shared" si="9"/>
        <v>2.2605318999782726E-5</v>
      </c>
      <c r="G33">
        <f t="shared" si="8"/>
        <v>1.9011406844106464E-5</v>
      </c>
      <c r="H33">
        <f t="shared" si="10"/>
        <v>2.9062759997462238E-5</v>
      </c>
      <c r="M33">
        <f t="shared" si="0"/>
        <v>1.7232182367595508E-2</v>
      </c>
      <c r="N33">
        <f t="shared" si="1"/>
        <v>1.5669067656006332</v>
      </c>
      <c r="S33">
        <v>5.96</v>
      </c>
      <c r="T33">
        <v>5.26</v>
      </c>
      <c r="U33">
        <v>16.3695652</v>
      </c>
      <c r="W33">
        <v>6.1</v>
      </c>
      <c r="X33">
        <v>5.35</v>
      </c>
      <c r="Y33">
        <v>4.5999999999999996</v>
      </c>
      <c r="AA33">
        <f t="shared" si="11"/>
        <v>0.75409836065573765</v>
      </c>
      <c r="AB33">
        <f t="shared" si="12"/>
        <v>0.85981308411214952</v>
      </c>
      <c r="AD33">
        <v>78765.255506000001</v>
      </c>
      <c r="AE33">
        <v>16976.260731999999</v>
      </c>
      <c r="AF33">
        <v>95741.516237999997</v>
      </c>
      <c r="AH33">
        <f t="shared" si="3"/>
        <v>0</v>
      </c>
      <c r="AI33">
        <f t="shared" si="4"/>
        <v>0.82268652723444036</v>
      </c>
      <c r="AJ33">
        <f t="shared" si="5"/>
        <v>0.17731347276555964</v>
      </c>
      <c r="AL33">
        <f t="shared" si="6"/>
        <v>78765.255506000001</v>
      </c>
      <c r="AM33">
        <f t="shared" si="6"/>
        <v>16976.260731999999</v>
      </c>
      <c r="AO33">
        <f>PrivateCars.Cap!BB33</f>
        <v>4570823</v>
      </c>
      <c r="AQ33">
        <f>PrivateCars.Act!N33</f>
        <v>1.0997579910882569E-2</v>
      </c>
    </row>
    <row r="34" spans="1:43" x14ac:dyDescent="0.2">
      <c r="A34" s="2">
        <v>2018</v>
      </c>
      <c r="B34">
        <f t="shared" si="13"/>
        <v>6.1088977488540743E-6</v>
      </c>
      <c r="D34">
        <f t="shared" si="7"/>
        <v>1.6129032258064517E-5</v>
      </c>
      <c r="E34">
        <f t="shared" si="9"/>
        <v>2.1730274393339522E-5</v>
      </c>
      <c r="G34">
        <f t="shared" si="8"/>
        <v>1.8416206261510128E-5</v>
      </c>
      <c r="H34">
        <f t="shared" si="10"/>
        <v>2.8152876166970784E-5</v>
      </c>
      <c r="M34">
        <f t="shared" si="0"/>
        <v>1.7222545083206725E-2</v>
      </c>
      <c r="N34">
        <f t="shared" si="1"/>
        <v>1.5680560012794198</v>
      </c>
      <c r="S34">
        <v>6.2</v>
      </c>
      <c r="T34">
        <v>5.43</v>
      </c>
      <c r="U34">
        <v>16.3695652</v>
      </c>
      <c r="W34">
        <v>6.1</v>
      </c>
      <c r="X34">
        <v>5.3</v>
      </c>
      <c r="Y34">
        <v>4.5999999999999996</v>
      </c>
      <c r="AA34">
        <f t="shared" si="11"/>
        <v>0.75409836065573765</v>
      </c>
      <c r="AB34">
        <f t="shared" si="12"/>
        <v>0.86792452830188671</v>
      </c>
      <c r="AD34">
        <v>79270.001583934602</v>
      </c>
      <c r="AE34">
        <v>17626.579370759438</v>
      </c>
      <c r="AF34">
        <v>96896.580954694044</v>
      </c>
      <c r="AH34">
        <f t="shared" si="3"/>
        <v>0</v>
      </c>
      <c r="AI34">
        <f t="shared" si="4"/>
        <v>0.8180887375272704</v>
      </c>
      <c r="AJ34">
        <f t="shared" si="5"/>
        <v>0.18191126247272957</v>
      </c>
      <c r="AL34">
        <f t="shared" si="6"/>
        <v>79270.001583934602</v>
      </c>
      <c r="AM34">
        <f t="shared" si="6"/>
        <v>17626.579370759438</v>
      </c>
      <c r="AO34">
        <f>PrivateCars.Cap!BB34</f>
        <v>4602688</v>
      </c>
      <c r="AQ34">
        <f>PrivateCars.Act!N34</f>
        <v>1.09833737246338E-2</v>
      </c>
    </row>
    <row r="35" spans="1:43" x14ac:dyDescent="0.2">
      <c r="A35" s="2">
        <v>2019</v>
      </c>
      <c r="B35">
        <f t="shared" si="13"/>
        <v>5.8203289819894234E-6</v>
      </c>
      <c r="D35">
        <f t="shared" si="7"/>
        <v>1.5649452269170579E-5</v>
      </c>
      <c r="G35">
        <f t="shared" si="8"/>
        <v>1.7636684303350968E-5</v>
      </c>
      <c r="M35">
        <f t="shared" si="0"/>
        <v>1.720933748663481E-2</v>
      </c>
      <c r="N35">
        <f t="shared" si="1"/>
        <v>1.56899278989477</v>
      </c>
      <c r="S35">
        <v>6.39</v>
      </c>
      <c r="T35">
        <v>5.67</v>
      </c>
      <c r="U35">
        <v>17.181159399999999</v>
      </c>
      <c r="AD35">
        <v>79575.15049</v>
      </c>
      <c r="AE35">
        <v>18276.898010000001</v>
      </c>
      <c r="AF35">
        <v>97852.048500000004</v>
      </c>
      <c r="AH35">
        <f t="shared" si="3"/>
        <v>0</v>
      </c>
      <c r="AI35">
        <f t="shared" si="4"/>
        <v>0.81321905580750309</v>
      </c>
      <c r="AJ35">
        <f t="shared" si="5"/>
        <v>0.18678094419249691</v>
      </c>
      <c r="AL35">
        <f t="shared" si="6"/>
        <v>79575.15049</v>
      </c>
      <c r="AM35">
        <f t="shared" si="6"/>
        <v>18276.898010000001</v>
      </c>
      <c r="AO35">
        <f>PrivateCars.Cap!BB35</f>
        <v>4623952</v>
      </c>
      <c r="AQ35">
        <f>PrivateCars.Act!N35</f>
        <v>1.0968398068794832E-2</v>
      </c>
    </row>
    <row r="36" spans="1:43" x14ac:dyDescent="0.2">
      <c r="A36" s="2">
        <v>2020</v>
      </c>
      <c r="B36">
        <f t="shared" si="13"/>
        <v>5.5735056497790744E-6</v>
      </c>
      <c r="D36">
        <f t="shared" si="7"/>
        <v>1.6103059581320449E-5</v>
      </c>
      <c r="G36">
        <f t="shared" si="8"/>
        <v>1.7921146953405018E-5</v>
      </c>
      <c r="M36">
        <f t="shared" si="0"/>
        <v>1.5886289520080629E-2</v>
      </c>
      <c r="N36">
        <f t="shared" si="1"/>
        <v>1.5830542936008962</v>
      </c>
      <c r="S36">
        <v>6.21</v>
      </c>
      <c r="T36">
        <v>5.58</v>
      </c>
      <c r="U36">
        <v>17.942029000000002</v>
      </c>
      <c r="AD36">
        <v>74003.658491524795</v>
      </c>
      <c r="AE36">
        <v>13280.368770483452</v>
      </c>
      <c r="AF36">
        <v>87284.027262008254</v>
      </c>
      <c r="AH36">
        <f t="shared" si="3"/>
        <v>0</v>
      </c>
      <c r="AI36">
        <f t="shared" si="4"/>
        <v>0.84784880822904063</v>
      </c>
      <c r="AJ36">
        <f t="shared" si="5"/>
        <v>0.15215119177095923</v>
      </c>
      <c r="AL36">
        <f t="shared" si="6"/>
        <v>74003.658491524795</v>
      </c>
      <c r="AM36">
        <f t="shared" si="6"/>
        <v>13280.368770483452</v>
      </c>
      <c r="AO36">
        <f>PrivateCars.Cap!BB36</f>
        <v>4658335</v>
      </c>
      <c r="AQ36">
        <f>PrivateCars.Act!N36</f>
        <v>1.0035214574949835E-2</v>
      </c>
    </row>
    <row r="37" spans="1:43" x14ac:dyDescent="0.2">
      <c r="A37" s="2">
        <v>2021</v>
      </c>
      <c r="B37">
        <f t="shared" si="13"/>
        <v>5.2752293686874E-6</v>
      </c>
      <c r="D37">
        <f t="shared" si="7"/>
        <v>1.4388489208633093E-5</v>
      </c>
      <c r="G37">
        <f t="shared" si="8"/>
        <v>1.524390243902439E-5</v>
      </c>
      <c r="M37">
        <f t="shared" si="0"/>
        <v>1.644020886134983E-2</v>
      </c>
      <c r="N37">
        <f t="shared" si="1"/>
        <v>1.5781479220274037</v>
      </c>
      <c r="S37">
        <v>6.95</v>
      </c>
      <c r="T37">
        <v>6.56</v>
      </c>
      <c r="U37">
        <v>18.9565217</v>
      </c>
      <c r="AD37">
        <v>77422.960644539606</v>
      </c>
      <c r="AE37">
        <v>15242.929284969861</v>
      </c>
      <c r="AF37">
        <v>92665.88992950946</v>
      </c>
      <c r="AH37">
        <f t="shared" si="3"/>
        <v>0</v>
      </c>
      <c r="AI37">
        <f t="shared" si="4"/>
        <v>0.83550657856342736</v>
      </c>
      <c r="AJ37">
        <f t="shared" si="5"/>
        <v>0.16449342143657275</v>
      </c>
      <c r="AL37">
        <f t="shared" si="6"/>
        <v>77422.960644539606</v>
      </c>
      <c r="AM37">
        <f t="shared" si="6"/>
        <v>15242.929284969861</v>
      </c>
      <c r="AO37">
        <f>PrivateCars.Cap!BB37</f>
        <v>4709366</v>
      </c>
      <c r="AQ37">
        <f>PrivateCars.Act!N37</f>
        <v>1.0417406779099352E-2</v>
      </c>
    </row>
    <row r="38" spans="1:43" ht="37" customHeight="1" x14ac:dyDescent="0.2">
      <c r="A38" s="4"/>
    </row>
    <row r="39" spans="1:43" x14ac:dyDescent="0.2">
      <c r="A39" s="2" t="s">
        <v>40</v>
      </c>
      <c r="N39">
        <f>AVERAGE(N6:N37)</f>
        <v>1.5961884353605589</v>
      </c>
      <c r="AA39">
        <f>AVERAGE(AA6:AA37)</f>
        <v>0.65415008229660709</v>
      </c>
      <c r="AB39">
        <f>AVERAGE(AB6:AB37)</f>
        <v>0.74223785517444618</v>
      </c>
      <c r="AI39">
        <f>AVERAGE(AI6:AI37)</f>
        <v>0.85400008466236221</v>
      </c>
      <c r="AJ39">
        <f>AVERAGE(AJ6:AJ37)</f>
        <v>0.14599991533763795</v>
      </c>
    </row>
    <row r="41" spans="1:43" x14ac:dyDescent="0.2">
      <c r="A41" s="2" t="s">
        <v>85</v>
      </c>
      <c r="N41">
        <f>_xlfn.VAR.S(N6:N37)</f>
        <v>7.2269045747096628E-4</v>
      </c>
      <c r="AA41">
        <f>_xlfn.VAR.S(AA6:AA37)</f>
        <v>7.9721412629119772E-3</v>
      </c>
      <c r="AB41">
        <f>_xlfn.VAR.S(AB6:AB37)</f>
        <v>9.1715425449673624E-3</v>
      </c>
      <c r="AI41">
        <f>_xlfn.VAR.S(AI6:AI37)</f>
        <v>3.8214272143648577E-4</v>
      </c>
      <c r="AJ41">
        <f>_xlfn.VAR.S(AJ6:AJ37)</f>
        <v>3.8214272143648968E-4</v>
      </c>
    </row>
    <row r="42" spans="1:43" x14ac:dyDescent="0.2">
      <c r="A42" s="2" t="s">
        <v>86</v>
      </c>
      <c r="N42">
        <f>STDEV(N6:N37)</f>
        <v>2.6882902698015448E-2</v>
      </c>
      <c r="AA42">
        <f>STDEV(AA6:AA37)</f>
        <v>8.9286848207963843E-2</v>
      </c>
      <c r="AB42">
        <f>STDEV(AB6:AB37)</f>
        <v>9.5768170834402824E-2</v>
      </c>
      <c r="AI42">
        <f>STDEV(AI6:AI37)</f>
        <v>1.9548471076697681E-2</v>
      </c>
      <c r="AJ42">
        <f>STDEV(AJ6:AJ37)</f>
        <v>1.9548471076697781E-2</v>
      </c>
    </row>
    <row r="43" spans="1:43" x14ac:dyDescent="0.2">
      <c r="A43" s="2" t="s">
        <v>95</v>
      </c>
      <c r="N43">
        <f>N42/N39</f>
        <v>1.6841935514927433E-2</v>
      </c>
      <c r="AA43">
        <f>AA42/AA39</f>
        <v>0.13649290984492926</v>
      </c>
      <c r="AB43">
        <f>AB42/AB39</f>
        <v>0.1290262550835469</v>
      </c>
      <c r="AI43">
        <f>AI42/AI39</f>
        <v>2.2890479085170549E-2</v>
      </c>
      <c r="AJ43">
        <f>AJ42/AJ39</f>
        <v>0.13389371515380802</v>
      </c>
    </row>
    <row r="44" spans="1:43" x14ac:dyDescent="0.2">
      <c r="A44" s="2" t="s">
        <v>96</v>
      </c>
      <c r="N44">
        <f>AVEDEV(N6:N37)</f>
        <v>2.1338342715117982E-2</v>
      </c>
      <c r="AA44">
        <f>AVEDEV(AA6:AA37)</f>
        <v>7.6950349542410562E-2</v>
      </c>
      <c r="AB44">
        <f>AVEDEV(AB6:AB37)</f>
        <v>8.085588250492351E-2</v>
      </c>
      <c r="AI44">
        <f>AVEDEV(AI6:AI37)</f>
        <v>1.622432200215378E-2</v>
      </c>
      <c r="AJ44">
        <f>AVEDEV(AJ6:AJ37)</f>
        <v>1.6224322002153808E-2</v>
      </c>
    </row>
    <row r="45" spans="1:43" x14ac:dyDescent="0.2">
      <c r="A45" s="2" t="s">
        <v>97</v>
      </c>
      <c r="N45">
        <f>N44/N39</f>
        <v>1.336831055933438E-2</v>
      </c>
      <c r="AA45">
        <f>AA44/AA39</f>
        <v>0.11763408982882227</v>
      </c>
      <c r="AB45">
        <f>AB44/AB39</f>
        <v>0.10893527181515172</v>
      </c>
      <c r="AI45">
        <f>AI44/AI39</f>
        <v>1.8998033247933734E-2</v>
      </c>
      <c r="AJ45">
        <f>AJ44/AJ39</f>
        <v>0.1111255576048356</v>
      </c>
    </row>
    <row r="47" spans="1:43" ht="34" customHeight="1" x14ac:dyDescent="0.2">
      <c r="A47" s="2" t="s">
        <v>6</v>
      </c>
      <c r="P47" s="70" t="s">
        <v>307</v>
      </c>
      <c r="Q47" s="70"/>
      <c r="S47" t="s">
        <v>118</v>
      </c>
      <c r="V47" t="s">
        <v>35</v>
      </c>
      <c r="W47" s="80" t="s">
        <v>308</v>
      </c>
      <c r="X47" s="80"/>
      <c r="Y47" s="80"/>
      <c r="Z47" t="s">
        <v>35</v>
      </c>
      <c r="AD47" t="s">
        <v>109</v>
      </c>
    </row>
    <row r="48" spans="1:43" x14ac:dyDescent="0.2">
      <c r="A48" s="2" t="s">
        <v>7</v>
      </c>
      <c r="P48" s="79" t="s">
        <v>306</v>
      </c>
      <c r="Q48" s="70"/>
      <c r="W48" s="79" t="s">
        <v>309</v>
      </c>
      <c r="X48" s="70"/>
      <c r="Y48" s="70"/>
    </row>
  </sheetData>
  <mergeCells count="16">
    <mergeCell ref="P48:Q48"/>
    <mergeCell ref="P47:Q47"/>
    <mergeCell ref="W47:Y47"/>
    <mergeCell ref="W48:Y48"/>
    <mergeCell ref="AD2:AF2"/>
    <mergeCell ref="AL2:AM2"/>
    <mergeCell ref="AD1:AQ1"/>
    <mergeCell ref="W2:Y2"/>
    <mergeCell ref="AA2:AB2"/>
    <mergeCell ref="B2:K2"/>
    <mergeCell ref="B1:K1"/>
    <mergeCell ref="S1:AB1"/>
    <mergeCell ref="M1:N1"/>
    <mergeCell ref="S2:U2"/>
    <mergeCell ref="P1:Q1"/>
    <mergeCell ref="P2:Q2"/>
  </mergeCells>
  <phoneticPr fontId="27" type="noConversion"/>
  <hyperlinks>
    <hyperlink ref="P48" r:id="rId1" xr:uid="{76443BFC-8B2A-5F41-94E2-1D83D7C3D435}"/>
    <hyperlink ref="W48" r:id="rId2" xr:uid="{E49D55C0-DAC4-0C44-9A12-034B84B24CF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C02A-117D-1B4D-9407-BC8143D871CD}">
  <dimension ref="A1:P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baseColWidth="10" defaultRowHeight="16" x14ac:dyDescent="0.2"/>
  <cols>
    <col min="1" max="1" width="11.6640625" style="2" bestFit="1" customWidth="1"/>
    <col min="2" max="2" width="18.5" bestFit="1" customWidth="1"/>
    <col min="3" max="3" width="17.1640625" bestFit="1" customWidth="1"/>
    <col min="11" max="11" width="10.83203125" style="7"/>
    <col min="14" max="14" width="10.83203125" style="7"/>
  </cols>
  <sheetData>
    <row r="1" spans="1:16" s="2" customFormat="1" ht="55" customHeight="1" x14ac:dyDescent="0.2">
      <c r="B1" s="82" t="s">
        <v>2</v>
      </c>
      <c r="C1" s="82"/>
      <c r="D1" s="82"/>
      <c r="E1" s="82"/>
      <c r="F1" s="82"/>
      <c r="G1" s="82"/>
      <c r="H1" s="82"/>
      <c r="I1" s="82"/>
      <c r="J1" s="82"/>
      <c r="K1" s="6"/>
      <c r="L1" s="82" t="s">
        <v>46</v>
      </c>
      <c r="M1" s="82"/>
      <c r="N1" s="6"/>
      <c r="O1" s="82" t="s">
        <v>47</v>
      </c>
      <c r="P1" s="82"/>
    </row>
    <row r="2" spans="1:16" s="2" customFormat="1" x14ac:dyDescent="0.2">
      <c r="K2" s="6"/>
      <c r="N2" s="6"/>
    </row>
    <row r="3" spans="1:16" s="2" customFormat="1" x14ac:dyDescent="0.2">
      <c r="B3" s="2" t="s">
        <v>58</v>
      </c>
      <c r="C3" s="2" t="s">
        <v>58</v>
      </c>
      <c r="K3" s="6"/>
      <c r="N3" s="6"/>
    </row>
    <row r="4" spans="1:16" s="2" customFormat="1" x14ac:dyDescent="0.2">
      <c r="B4" s="2" t="s">
        <v>63</v>
      </c>
      <c r="C4" s="2" t="s">
        <v>64</v>
      </c>
      <c r="D4" s="2" t="s">
        <v>18</v>
      </c>
      <c r="K4" s="6"/>
      <c r="N4" s="6"/>
    </row>
    <row r="5" spans="1:16" x14ac:dyDescent="0.2">
      <c r="A5" s="2">
        <v>1990</v>
      </c>
      <c r="B5">
        <v>658</v>
      </c>
      <c r="C5">
        <v>18140</v>
      </c>
      <c r="D5">
        <f>SUM($B5:$C5)</f>
        <v>18798</v>
      </c>
    </row>
    <row r="6" spans="1:16" x14ac:dyDescent="0.2">
      <c r="A6" s="2">
        <v>1991</v>
      </c>
      <c r="B6">
        <v>687</v>
      </c>
      <c r="C6">
        <v>19556</v>
      </c>
      <c r="D6">
        <f t="shared" ref="D6:D37" si="0">SUM($B6:$C6)</f>
        <v>20243</v>
      </c>
    </row>
    <row r="7" spans="1:16" x14ac:dyDescent="0.2">
      <c r="A7" s="2">
        <v>1992</v>
      </c>
      <c r="B7">
        <v>734</v>
      </c>
      <c r="C7">
        <v>20502</v>
      </c>
      <c r="D7">
        <f t="shared" si="0"/>
        <v>21236</v>
      </c>
    </row>
    <row r="8" spans="1:16" x14ac:dyDescent="0.2">
      <c r="A8" s="2">
        <v>1993</v>
      </c>
      <c r="B8">
        <v>766</v>
      </c>
      <c r="C8">
        <v>20989</v>
      </c>
      <c r="D8">
        <f t="shared" si="0"/>
        <v>21755</v>
      </c>
    </row>
    <row r="9" spans="1:16" x14ac:dyDescent="0.2">
      <c r="A9" s="2">
        <v>1994</v>
      </c>
      <c r="B9">
        <v>795</v>
      </c>
      <c r="C9">
        <v>21456</v>
      </c>
      <c r="D9">
        <f t="shared" si="0"/>
        <v>22251</v>
      </c>
    </row>
    <row r="10" spans="1:16" x14ac:dyDescent="0.2">
      <c r="A10" s="2">
        <v>1995</v>
      </c>
      <c r="B10">
        <v>813</v>
      </c>
      <c r="C10">
        <v>21920</v>
      </c>
      <c r="D10">
        <f t="shared" si="0"/>
        <v>22733</v>
      </c>
    </row>
    <row r="11" spans="1:16" x14ac:dyDescent="0.2">
      <c r="A11" s="2">
        <v>1996</v>
      </c>
      <c r="B11">
        <v>850</v>
      </c>
      <c r="C11">
        <v>22854</v>
      </c>
      <c r="D11">
        <f t="shared" si="0"/>
        <v>23704</v>
      </c>
    </row>
    <row r="12" spans="1:16" x14ac:dyDescent="0.2">
      <c r="A12" s="2">
        <v>1997</v>
      </c>
      <c r="B12">
        <v>922</v>
      </c>
      <c r="C12">
        <v>23360</v>
      </c>
      <c r="D12">
        <f t="shared" si="0"/>
        <v>24282</v>
      </c>
    </row>
    <row r="13" spans="1:16" x14ac:dyDescent="0.2">
      <c r="A13" s="2">
        <v>1998</v>
      </c>
      <c r="B13">
        <v>951</v>
      </c>
      <c r="C13">
        <v>23551</v>
      </c>
      <c r="D13">
        <f t="shared" si="0"/>
        <v>24502</v>
      </c>
    </row>
    <row r="14" spans="1:16" x14ac:dyDescent="0.2">
      <c r="A14" s="2">
        <v>1999</v>
      </c>
      <c r="B14">
        <v>1014</v>
      </c>
      <c r="C14">
        <v>23749</v>
      </c>
      <c r="D14">
        <f t="shared" si="0"/>
        <v>24763</v>
      </c>
    </row>
    <row r="15" spans="1:16" x14ac:dyDescent="0.2">
      <c r="A15" s="2">
        <v>2000</v>
      </c>
      <c r="B15">
        <v>1079</v>
      </c>
      <c r="C15">
        <v>23991</v>
      </c>
      <c r="D15">
        <f t="shared" si="0"/>
        <v>25070</v>
      </c>
    </row>
    <row r="16" spans="1:16" x14ac:dyDescent="0.2">
      <c r="A16" s="2">
        <v>2001</v>
      </c>
      <c r="B16">
        <v>1171</v>
      </c>
      <c r="C16">
        <v>24508</v>
      </c>
      <c r="D16">
        <f t="shared" si="0"/>
        <v>25679</v>
      </c>
    </row>
    <row r="17" spans="1:4" x14ac:dyDescent="0.2">
      <c r="A17" s="2">
        <v>2002</v>
      </c>
      <c r="B17">
        <v>1288</v>
      </c>
      <c r="C17">
        <v>25138</v>
      </c>
      <c r="D17">
        <f t="shared" si="0"/>
        <v>26426</v>
      </c>
    </row>
    <row r="18" spans="1:4" x14ac:dyDescent="0.2">
      <c r="A18" s="2">
        <v>2003</v>
      </c>
      <c r="B18">
        <v>1466</v>
      </c>
      <c r="C18">
        <v>25929</v>
      </c>
      <c r="D18">
        <f t="shared" si="0"/>
        <v>27395</v>
      </c>
    </row>
    <row r="19" spans="1:4" x14ac:dyDescent="0.2">
      <c r="A19" s="2">
        <v>2004</v>
      </c>
      <c r="B19">
        <v>1580</v>
      </c>
      <c r="C19">
        <v>26800</v>
      </c>
      <c r="D19">
        <f t="shared" si="0"/>
        <v>28380</v>
      </c>
    </row>
    <row r="20" spans="1:4" x14ac:dyDescent="0.2">
      <c r="A20" s="2">
        <v>2005</v>
      </c>
      <c r="B20">
        <v>1709</v>
      </c>
      <c r="C20">
        <v>27457</v>
      </c>
      <c r="D20">
        <f t="shared" si="0"/>
        <v>29166</v>
      </c>
    </row>
    <row r="21" spans="1:4" x14ac:dyDescent="0.2">
      <c r="A21" s="2">
        <v>2006</v>
      </c>
      <c r="B21">
        <v>1814</v>
      </c>
      <c r="C21">
        <v>28007</v>
      </c>
      <c r="D21">
        <f t="shared" si="0"/>
        <v>29821</v>
      </c>
    </row>
    <row r="22" spans="1:4" x14ac:dyDescent="0.2">
      <c r="A22" s="2">
        <v>2007</v>
      </c>
      <c r="B22">
        <v>1953</v>
      </c>
      <c r="C22">
        <v>29411</v>
      </c>
      <c r="D22">
        <f t="shared" si="0"/>
        <v>31364</v>
      </c>
    </row>
    <row r="23" spans="1:4" x14ac:dyDescent="0.2">
      <c r="A23" s="2">
        <v>2008</v>
      </c>
      <c r="B23">
        <v>2062</v>
      </c>
      <c r="C23">
        <v>30414</v>
      </c>
      <c r="D23">
        <f t="shared" si="0"/>
        <v>32476</v>
      </c>
    </row>
    <row r="24" spans="1:4" x14ac:dyDescent="0.2">
      <c r="A24" s="2">
        <v>2009</v>
      </c>
      <c r="B24">
        <v>2260</v>
      </c>
      <c r="C24">
        <v>32208</v>
      </c>
      <c r="D24">
        <f t="shared" si="0"/>
        <v>34468</v>
      </c>
    </row>
    <row r="25" spans="1:4" x14ac:dyDescent="0.2">
      <c r="A25" s="2">
        <v>2010</v>
      </c>
      <c r="B25">
        <v>2486</v>
      </c>
      <c r="C25">
        <v>33939</v>
      </c>
      <c r="D25">
        <f t="shared" si="0"/>
        <v>36425</v>
      </c>
    </row>
    <row r="26" spans="1:4" x14ac:dyDescent="0.2">
      <c r="A26" s="2">
        <v>2011</v>
      </c>
      <c r="B26">
        <v>2713</v>
      </c>
      <c r="C26">
        <v>36328</v>
      </c>
      <c r="D26">
        <f t="shared" si="0"/>
        <v>39041</v>
      </c>
    </row>
    <row r="27" spans="1:4" x14ac:dyDescent="0.2">
      <c r="A27" s="2">
        <v>2012</v>
      </c>
      <c r="B27">
        <v>3004</v>
      </c>
      <c r="C27">
        <v>39029</v>
      </c>
      <c r="D27">
        <f t="shared" si="0"/>
        <v>42033</v>
      </c>
    </row>
    <row r="28" spans="1:4" x14ac:dyDescent="0.2">
      <c r="A28" s="2">
        <v>2013</v>
      </c>
      <c r="B28">
        <v>3149</v>
      </c>
      <c r="C28">
        <v>41529</v>
      </c>
      <c r="D28">
        <f t="shared" si="0"/>
        <v>44678</v>
      </c>
    </row>
    <row r="29" spans="1:4" x14ac:dyDescent="0.2">
      <c r="A29" s="2">
        <v>2014</v>
      </c>
      <c r="B29">
        <v>3310</v>
      </c>
      <c r="C29">
        <v>44086</v>
      </c>
      <c r="D29">
        <f t="shared" si="0"/>
        <v>47396</v>
      </c>
    </row>
    <row r="30" spans="1:4" x14ac:dyDescent="0.2">
      <c r="A30" s="2">
        <v>2015</v>
      </c>
      <c r="B30">
        <v>3501</v>
      </c>
      <c r="C30">
        <v>47328</v>
      </c>
      <c r="D30">
        <f t="shared" si="0"/>
        <v>50829</v>
      </c>
    </row>
    <row r="31" spans="1:4" x14ac:dyDescent="0.2">
      <c r="A31" s="2">
        <v>2016</v>
      </c>
      <c r="B31">
        <v>3780</v>
      </c>
      <c r="C31">
        <v>51154</v>
      </c>
      <c r="D31">
        <f t="shared" si="0"/>
        <v>54934</v>
      </c>
    </row>
    <row r="32" spans="1:4" x14ac:dyDescent="0.2">
      <c r="A32" s="2">
        <v>2017</v>
      </c>
      <c r="B32">
        <v>3984</v>
      </c>
      <c r="C32">
        <v>55247</v>
      </c>
      <c r="D32">
        <f t="shared" si="0"/>
        <v>59231</v>
      </c>
    </row>
    <row r="33" spans="1:4" x14ac:dyDescent="0.2">
      <c r="A33" s="2">
        <v>2018</v>
      </c>
      <c r="B33">
        <v>4248</v>
      </c>
      <c r="C33">
        <v>59342</v>
      </c>
      <c r="D33">
        <f t="shared" si="0"/>
        <v>63590</v>
      </c>
    </row>
    <row r="34" spans="1:4" x14ac:dyDescent="0.2">
      <c r="A34" s="2">
        <v>2019</v>
      </c>
      <c r="B34">
        <v>4547</v>
      </c>
      <c r="C34">
        <v>64242</v>
      </c>
      <c r="D34">
        <f t="shared" si="0"/>
        <v>68789</v>
      </c>
    </row>
    <row r="35" spans="1:4" x14ac:dyDescent="0.2">
      <c r="A35" s="2">
        <v>2020</v>
      </c>
      <c r="B35">
        <v>4770</v>
      </c>
      <c r="C35">
        <v>70412</v>
      </c>
      <c r="D35">
        <f t="shared" si="0"/>
        <v>75182</v>
      </c>
    </row>
    <row r="36" spans="1:4" x14ac:dyDescent="0.2">
      <c r="A36" s="2">
        <v>2021</v>
      </c>
      <c r="B36">
        <v>5277</v>
      </c>
      <c r="C36">
        <v>79160</v>
      </c>
      <c r="D36">
        <f t="shared" si="0"/>
        <v>84437</v>
      </c>
    </row>
    <row r="37" spans="1:4" x14ac:dyDescent="0.2">
      <c r="A37" s="2">
        <v>2022</v>
      </c>
      <c r="B37">
        <v>5581</v>
      </c>
      <c r="C37">
        <v>86035</v>
      </c>
      <c r="D37">
        <f t="shared" si="0"/>
        <v>91616</v>
      </c>
    </row>
    <row r="38" spans="1:4" x14ac:dyDescent="0.2">
      <c r="A38"/>
    </row>
    <row r="39" spans="1:4" x14ac:dyDescent="0.2">
      <c r="A39" s="2" t="s">
        <v>70</v>
      </c>
      <c r="B39" s="83" t="s">
        <v>69</v>
      </c>
      <c r="C39" s="83"/>
      <c r="D39" s="83"/>
    </row>
    <row r="40" spans="1:4" x14ac:dyDescent="0.2">
      <c r="B40" s="83"/>
      <c r="C40" s="83"/>
      <c r="D40" s="83"/>
    </row>
    <row r="41" spans="1:4" x14ac:dyDescent="0.2">
      <c r="B41" s="83"/>
      <c r="C41" s="83"/>
      <c r="D41" s="83"/>
    </row>
    <row r="43" spans="1:4" x14ac:dyDescent="0.2">
      <c r="A43" s="2" t="s">
        <v>6</v>
      </c>
      <c r="B43" t="s">
        <v>5</v>
      </c>
    </row>
    <row r="44" spans="1:4" x14ac:dyDescent="0.2">
      <c r="A44" s="2" t="s">
        <v>7</v>
      </c>
    </row>
  </sheetData>
  <mergeCells count="4">
    <mergeCell ref="L1:M1"/>
    <mergeCell ref="O1:P1"/>
    <mergeCell ref="B1:J1"/>
    <mergeCell ref="B39:D41"/>
  </mergeCells>
  <conditionalFormatting sqref="L5:M35">
    <cfRule type="cellIs" dxfId="14" priority="2" operator="lessThan">
      <formula>0</formula>
    </cfRule>
  </conditionalFormatting>
  <conditionalFormatting sqref="O5:P35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334-D394-4444-A0E4-9E18ED16EF6D}">
  <dimension ref="A1:T4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baseColWidth="10" defaultRowHeight="16" x14ac:dyDescent="0.2"/>
  <cols>
    <col min="1" max="1" width="11.6640625" style="2" bestFit="1" customWidth="1"/>
    <col min="2" max="2" width="13.83203125" bestFit="1" customWidth="1"/>
    <col min="3" max="3" width="11.6640625" style="6" customWidth="1"/>
    <col min="4" max="4" width="13.6640625" customWidth="1"/>
    <col min="5" max="5" width="10.83203125" style="7"/>
    <col min="7" max="7" width="10.83203125" style="7"/>
    <col min="9" max="9" width="10.83203125" style="7"/>
    <col min="11" max="11" width="10.83203125" style="7"/>
    <col min="12" max="12" width="12.6640625" bestFit="1" customWidth="1"/>
  </cols>
  <sheetData>
    <row r="1" spans="1:20" s="2" customFormat="1" ht="55" customHeight="1" x14ac:dyDescent="0.35">
      <c r="B1" s="40" t="s">
        <v>179</v>
      </c>
      <c r="C1" s="6"/>
      <c r="D1" s="38" t="s">
        <v>199</v>
      </c>
      <c r="E1" s="6"/>
      <c r="F1" s="40" t="s">
        <v>2</v>
      </c>
      <c r="G1" s="6"/>
      <c r="H1" s="40" t="s">
        <v>46</v>
      </c>
      <c r="I1" s="6"/>
      <c r="J1" s="40" t="s">
        <v>249</v>
      </c>
      <c r="K1" s="6"/>
      <c r="L1" s="84" t="s">
        <v>177</v>
      </c>
      <c r="M1" s="85"/>
      <c r="N1" s="85"/>
      <c r="O1" s="85"/>
      <c r="P1" s="85"/>
      <c r="Q1" s="85"/>
      <c r="R1" s="85"/>
      <c r="S1" s="85"/>
      <c r="T1" s="86"/>
    </row>
    <row r="2" spans="1:20" s="2" customFormat="1" x14ac:dyDescent="0.2">
      <c r="B2" s="2" t="s">
        <v>26</v>
      </c>
      <c r="C2" s="6"/>
      <c r="D2" s="2" t="s">
        <v>26</v>
      </c>
      <c r="E2" s="6"/>
      <c r="F2" s="2" t="s">
        <v>26</v>
      </c>
      <c r="G2" s="6"/>
      <c r="H2" s="2" t="s">
        <v>26</v>
      </c>
      <c r="I2" s="6"/>
      <c r="J2" s="2" t="s">
        <v>26</v>
      </c>
      <c r="K2" s="6"/>
      <c r="L2" s="56" t="s">
        <v>43</v>
      </c>
      <c r="M2" s="56"/>
      <c r="Q2" s="56" t="s">
        <v>48</v>
      </c>
      <c r="R2" s="56"/>
      <c r="S2" s="56"/>
      <c r="T2" s="1"/>
    </row>
    <row r="3" spans="1:20" s="2" customFormat="1" x14ac:dyDescent="0.2">
      <c r="A3" s="2" t="s">
        <v>52</v>
      </c>
      <c r="B3" s="2" t="s">
        <v>37</v>
      </c>
      <c r="C3" s="6"/>
      <c r="D3" s="2" t="s">
        <v>37</v>
      </c>
      <c r="E3" s="6"/>
      <c r="F3" s="2" t="s">
        <v>37</v>
      </c>
      <c r="G3" s="6"/>
      <c r="H3" s="2" t="s">
        <v>37</v>
      </c>
      <c r="I3" s="6"/>
      <c r="J3" s="2" t="s">
        <v>37</v>
      </c>
      <c r="K3" s="6"/>
      <c r="L3" s="1"/>
      <c r="M3" s="1"/>
      <c r="Q3" s="1"/>
      <c r="R3" s="1"/>
      <c r="S3" s="1"/>
      <c r="T3" s="1"/>
    </row>
    <row r="4" spans="1:20" s="2" customFormat="1" x14ac:dyDescent="0.2">
      <c r="A4" s="2" t="s">
        <v>51</v>
      </c>
      <c r="B4" s="2" t="s">
        <v>202</v>
      </c>
      <c r="C4" s="6"/>
      <c r="D4" s="2" t="s">
        <v>202</v>
      </c>
      <c r="E4" s="6"/>
      <c r="F4" s="2" t="s">
        <v>202</v>
      </c>
      <c r="G4" s="6"/>
      <c r="H4" s="2" t="s">
        <v>202</v>
      </c>
      <c r="I4" s="6"/>
      <c r="J4" s="2" t="s">
        <v>202</v>
      </c>
      <c r="K4" s="6"/>
      <c r="L4" s="56" t="s">
        <v>37</v>
      </c>
      <c r="M4" s="56"/>
      <c r="O4" s="2" t="s">
        <v>39</v>
      </c>
      <c r="Q4" s="56" t="s">
        <v>37</v>
      </c>
      <c r="R4" s="56"/>
      <c r="S4" s="56"/>
    </row>
    <row r="5" spans="1:20" s="2" customFormat="1" ht="17" x14ac:dyDescent="0.2">
      <c r="A5" s="11" t="s">
        <v>90</v>
      </c>
      <c r="B5" s="2" t="s">
        <v>200</v>
      </c>
      <c r="C5" s="6"/>
      <c r="D5" s="2" t="s">
        <v>201</v>
      </c>
      <c r="E5" s="6"/>
      <c r="F5" s="2" t="s">
        <v>4</v>
      </c>
      <c r="G5" s="6"/>
      <c r="H5" s="2" t="s">
        <v>4</v>
      </c>
      <c r="I5" s="6"/>
      <c r="J5" s="2" t="s">
        <v>4</v>
      </c>
      <c r="K5" s="6"/>
      <c r="L5" s="2" t="s">
        <v>4</v>
      </c>
      <c r="M5" s="2" t="s">
        <v>38</v>
      </c>
      <c r="O5" s="2" t="s">
        <v>39</v>
      </c>
      <c r="Q5" s="2" t="s">
        <v>45</v>
      </c>
      <c r="R5" s="2" t="s">
        <v>4</v>
      </c>
      <c r="S5" s="2" t="s">
        <v>38</v>
      </c>
    </row>
    <row r="6" spans="1:20" x14ac:dyDescent="0.2">
      <c r="A6" s="2">
        <v>1990</v>
      </c>
      <c r="B6">
        <v>35</v>
      </c>
      <c r="D6">
        <f>MAX(MAX(H6:H37)*1.2,100)</f>
        <v>326.39999999999998</v>
      </c>
      <c r="F6">
        <f t="shared" ref="F6:F13" si="0">R6</f>
        <v>4944</v>
      </c>
      <c r="L6">
        <v>4944</v>
      </c>
      <c r="O6">
        <f>'Rail.Act'!I6</f>
        <v>134.916</v>
      </c>
      <c r="Q6">
        <f>R6/'Rail.Act'!$M$40</f>
        <v>979.84047573482621</v>
      </c>
      <c r="R6">
        <f>L6</f>
        <v>4944</v>
      </c>
      <c r="S6">
        <f>R6/'Rail.Act'!$M$40*'Rail.Act'!$N$40</f>
        <v>353419.73037274048</v>
      </c>
    </row>
    <row r="7" spans="1:20" x14ac:dyDescent="0.2">
      <c r="A7" s="2">
        <v>1991</v>
      </c>
      <c r="F7">
        <f t="shared" si="0"/>
        <v>5216</v>
      </c>
      <c r="H7">
        <f>F7-F6</f>
        <v>272</v>
      </c>
      <c r="J7">
        <f t="shared" ref="J7:J36" si="1">F6+H7-F7</f>
        <v>0</v>
      </c>
      <c r="L7">
        <v>5216</v>
      </c>
      <c r="O7">
        <f>'Rail.Act'!I7</f>
        <v>137.66800000000001</v>
      </c>
      <c r="Q7">
        <f>R7/'Rail.Act'!$M$40</f>
        <v>1033.7475569241208</v>
      </c>
      <c r="R7">
        <f t="shared" ref="R7:R13" si="2">L7</f>
        <v>5216</v>
      </c>
      <c r="S7">
        <f>R7/'Rail.Act'!$M$40*'Rail.Act'!$N$40</f>
        <v>372863.53430910484</v>
      </c>
    </row>
    <row r="8" spans="1:20" x14ac:dyDescent="0.2">
      <c r="A8" s="2">
        <v>1992</v>
      </c>
      <c r="F8">
        <f t="shared" si="0"/>
        <v>5209</v>
      </c>
      <c r="H8">
        <v>0</v>
      </c>
      <c r="J8">
        <f t="shared" si="1"/>
        <v>7</v>
      </c>
      <c r="L8">
        <v>5209</v>
      </c>
      <c r="O8">
        <f>'Rail.Act'!I8</f>
        <v>136.786</v>
      </c>
      <c r="Q8">
        <f>R8/'Rail.Act'!$M$40</f>
        <v>1032.3602423346904</v>
      </c>
      <c r="R8">
        <f t="shared" si="2"/>
        <v>5209</v>
      </c>
      <c r="S8">
        <f>R8/'Rail.Act'!$M$40*'Rail.Act'!$N$40</f>
        <v>372363.14229603659</v>
      </c>
    </row>
    <row r="9" spans="1:20" x14ac:dyDescent="0.2">
      <c r="A9" s="2">
        <v>1993</v>
      </c>
      <c r="F9">
        <f t="shared" si="0"/>
        <v>5216</v>
      </c>
      <c r="H9">
        <f>F9-F8</f>
        <v>7</v>
      </c>
      <c r="J9">
        <f t="shared" si="1"/>
        <v>0</v>
      </c>
      <c r="L9">
        <v>5216</v>
      </c>
      <c r="O9">
        <f>'Rail.Act'!I9</f>
        <v>135.56899999999999</v>
      </c>
      <c r="Q9">
        <f>R9/'Rail.Act'!$M$40</f>
        <v>1033.7475569241208</v>
      </c>
      <c r="R9">
        <f t="shared" si="2"/>
        <v>5216</v>
      </c>
      <c r="S9">
        <f>R9/'Rail.Act'!$M$40*'Rail.Act'!$N$40</f>
        <v>372863.53430910484</v>
      </c>
    </row>
    <row r="10" spans="1:20" x14ac:dyDescent="0.2">
      <c r="A10" s="2">
        <v>1994</v>
      </c>
      <c r="F10">
        <f t="shared" si="0"/>
        <v>5212</v>
      </c>
      <c r="H10">
        <v>0</v>
      </c>
      <c r="J10">
        <f t="shared" si="1"/>
        <v>4</v>
      </c>
      <c r="L10">
        <v>5212</v>
      </c>
      <c r="O10">
        <f>'Rail.Act'!I10</f>
        <v>132.90199999999999</v>
      </c>
      <c r="Q10">
        <f>R10/'Rail.Act'!$M$40</f>
        <v>1032.9548057301606</v>
      </c>
      <c r="R10">
        <f t="shared" si="2"/>
        <v>5212</v>
      </c>
      <c r="S10">
        <f>R10/'Rail.Act'!$M$40*'Rail.Act'!$N$40</f>
        <v>372577.59601592302</v>
      </c>
    </row>
    <row r="11" spans="1:20" x14ac:dyDescent="0.2">
      <c r="A11" s="2">
        <v>1995</v>
      </c>
      <c r="F11">
        <f t="shared" si="0"/>
        <v>5164</v>
      </c>
      <c r="H11">
        <v>0</v>
      </c>
      <c r="J11">
        <f t="shared" si="1"/>
        <v>48</v>
      </c>
      <c r="L11">
        <v>5164</v>
      </c>
      <c r="O11">
        <f>'Rail.Act'!I11</f>
        <v>131.94900000000001</v>
      </c>
      <c r="Q11">
        <f>R11/'Rail.Act'!$M$40</f>
        <v>1023.441791402638</v>
      </c>
      <c r="R11">
        <f t="shared" si="2"/>
        <v>5164</v>
      </c>
      <c r="S11">
        <f>R11/'Rail.Act'!$M$40*'Rail.Act'!$N$40</f>
        <v>369146.33649774105</v>
      </c>
    </row>
    <row r="12" spans="1:20" x14ac:dyDescent="0.2">
      <c r="A12" s="2">
        <v>1996</v>
      </c>
      <c r="F12">
        <f t="shared" si="0"/>
        <v>5147</v>
      </c>
      <c r="H12">
        <v>0</v>
      </c>
      <c r="J12">
        <f t="shared" si="1"/>
        <v>17</v>
      </c>
      <c r="L12">
        <v>5147</v>
      </c>
      <c r="O12">
        <f>'Rail.Act'!I12</f>
        <v>130.17099999999999</v>
      </c>
      <c r="Q12">
        <f>R12/'Rail.Act'!$M$40</f>
        <v>1020.0725988283072</v>
      </c>
      <c r="R12">
        <f t="shared" si="2"/>
        <v>5147</v>
      </c>
      <c r="S12">
        <f>R12/'Rail.Act'!$M$40*'Rail.Act'!$N$40</f>
        <v>367931.09875171829</v>
      </c>
    </row>
    <row r="13" spans="1:20" x14ac:dyDescent="0.2">
      <c r="A13" s="2">
        <v>1997</v>
      </c>
      <c r="F13">
        <f t="shared" si="0"/>
        <v>5157</v>
      </c>
      <c r="H13">
        <f t="shared" ref="H13:H36" si="3">F13-F12</f>
        <v>10</v>
      </c>
      <c r="J13">
        <f t="shared" si="1"/>
        <v>0</v>
      </c>
      <c r="L13">
        <v>5157</v>
      </c>
      <c r="O13">
        <f>'Rail.Act'!I13</f>
        <v>131.84700000000001</v>
      </c>
      <c r="Q13">
        <f>R13/'Rail.Act'!$M$40</f>
        <v>1022.0544768132077</v>
      </c>
      <c r="R13">
        <f t="shared" si="2"/>
        <v>5157</v>
      </c>
      <c r="S13">
        <f>R13/'Rail.Act'!$M$40*'Rail.Act'!$N$40</f>
        <v>368645.94448467286</v>
      </c>
    </row>
    <row r="14" spans="1:20" x14ac:dyDescent="0.2">
      <c r="A14" s="2">
        <v>1998</v>
      </c>
      <c r="F14">
        <f t="shared" ref="F14:F25" si="4">F13+(R$26-R$13)/(A$26-A$13)</f>
        <v>5250.5384615384619</v>
      </c>
      <c r="H14">
        <f t="shared" si="3"/>
        <v>93.538461538461888</v>
      </c>
      <c r="J14">
        <f t="shared" si="1"/>
        <v>0</v>
      </c>
      <c r="O14">
        <f>'Rail.Act'!I14</f>
        <v>136.43199999999999</v>
      </c>
    </row>
    <row r="15" spans="1:20" x14ac:dyDescent="0.2">
      <c r="A15" s="2">
        <v>1999</v>
      </c>
      <c r="F15">
        <f t="shared" si="4"/>
        <v>5344.0769230769238</v>
      </c>
      <c r="H15">
        <f t="shared" si="3"/>
        <v>93.538461538461888</v>
      </c>
      <c r="J15">
        <f t="shared" si="1"/>
        <v>0</v>
      </c>
      <c r="O15">
        <f>'Rail.Act'!I15</f>
        <v>136.66200000000001</v>
      </c>
    </row>
    <row r="16" spans="1:20" x14ac:dyDescent="0.2">
      <c r="A16" s="2">
        <v>2000</v>
      </c>
      <c r="F16">
        <f t="shared" si="4"/>
        <v>5437.6153846153857</v>
      </c>
      <c r="H16">
        <f t="shared" si="3"/>
        <v>93.538461538461888</v>
      </c>
      <c r="J16">
        <f t="shared" si="1"/>
        <v>0</v>
      </c>
      <c r="O16">
        <f>'Rail.Act'!I16</f>
        <v>140.69200000000001</v>
      </c>
    </row>
    <row r="17" spans="1:19" x14ac:dyDescent="0.2">
      <c r="A17" s="2">
        <v>2001</v>
      </c>
      <c r="F17">
        <f t="shared" si="4"/>
        <v>5531.1538461538476</v>
      </c>
      <c r="H17">
        <f t="shared" si="3"/>
        <v>93.538461538461888</v>
      </c>
      <c r="J17">
        <f t="shared" si="1"/>
        <v>0</v>
      </c>
      <c r="O17">
        <f>'Rail.Act'!I17</f>
        <v>144.27799999999999</v>
      </c>
    </row>
    <row r="18" spans="1:19" x14ac:dyDescent="0.2">
      <c r="A18" s="2">
        <v>2002</v>
      </c>
      <c r="F18">
        <f t="shared" si="4"/>
        <v>5624.6923076923094</v>
      </c>
      <c r="H18">
        <f t="shared" si="3"/>
        <v>93.538461538461888</v>
      </c>
      <c r="J18">
        <f t="shared" si="1"/>
        <v>0</v>
      </c>
      <c r="O18">
        <f>'Rail.Act'!I18</f>
        <v>147.85599999999999</v>
      </c>
    </row>
    <row r="19" spans="1:19" x14ac:dyDescent="0.2">
      <c r="A19" s="2">
        <v>2003</v>
      </c>
      <c r="F19">
        <f t="shared" si="4"/>
        <v>5718.2307692307713</v>
      </c>
      <c r="H19">
        <f t="shared" si="3"/>
        <v>93.538461538461888</v>
      </c>
      <c r="J19">
        <f t="shared" si="1"/>
        <v>0</v>
      </c>
      <c r="O19">
        <f>'Rail.Act'!I19</f>
        <v>147.22499999999999</v>
      </c>
      <c r="P19" s="9"/>
    </row>
    <row r="20" spans="1:19" x14ac:dyDescent="0.2">
      <c r="A20" s="2">
        <v>2004</v>
      </c>
      <c r="F20">
        <f t="shared" si="4"/>
        <v>5811.7692307692332</v>
      </c>
      <c r="H20">
        <f t="shared" si="3"/>
        <v>93.538461538461888</v>
      </c>
      <c r="J20">
        <f t="shared" si="1"/>
        <v>0</v>
      </c>
      <c r="O20">
        <f>'Rail.Act'!I20</f>
        <v>150.70500000000001</v>
      </c>
      <c r="P20" s="9"/>
    </row>
    <row r="21" spans="1:19" x14ac:dyDescent="0.2">
      <c r="A21" s="2">
        <v>2005</v>
      </c>
      <c r="F21">
        <f t="shared" si="4"/>
        <v>5905.3076923076951</v>
      </c>
      <c r="H21">
        <f t="shared" si="3"/>
        <v>93.538461538461888</v>
      </c>
      <c r="J21">
        <f t="shared" si="1"/>
        <v>0</v>
      </c>
      <c r="O21">
        <f>'Rail.Act'!I21</f>
        <v>163.61500000000001</v>
      </c>
      <c r="P21" s="9"/>
    </row>
    <row r="22" spans="1:19" x14ac:dyDescent="0.2">
      <c r="A22" s="2">
        <v>2006</v>
      </c>
      <c r="F22">
        <f t="shared" si="4"/>
        <v>5998.846153846157</v>
      </c>
      <c r="H22">
        <f t="shared" si="3"/>
        <v>93.538461538461888</v>
      </c>
      <c r="J22">
        <f t="shared" si="1"/>
        <v>0</v>
      </c>
      <c r="O22">
        <f>'Rail.Act'!I22</f>
        <v>165.6</v>
      </c>
      <c r="P22" s="9"/>
    </row>
    <row r="23" spans="1:19" x14ac:dyDescent="0.2">
      <c r="A23" s="2">
        <v>2007</v>
      </c>
      <c r="F23">
        <f t="shared" si="4"/>
        <v>6092.3846153846189</v>
      </c>
      <c r="H23">
        <f t="shared" si="3"/>
        <v>93.538461538461888</v>
      </c>
      <c r="J23">
        <f t="shared" si="1"/>
        <v>0</v>
      </c>
      <c r="O23">
        <f>'Rail.Act'!I23</f>
        <v>168.7</v>
      </c>
      <c r="P23" s="9"/>
    </row>
    <row r="24" spans="1:19" x14ac:dyDescent="0.2">
      <c r="A24" s="2">
        <v>2008</v>
      </c>
      <c r="F24">
        <f t="shared" si="4"/>
        <v>6185.9230769230808</v>
      </c>
      <c r="H24">
        <f t="shared" si="3"/>
        <v>93.538461538461888</v>
      </c>
      <c r="J24">
        <f t="shared" si="1"/>
        <v>0</v>
      </c>
      <c r="O24">
        <f>'Rail.Act'!I24</f>
        <v>171.8</v>
      </c>
      <c r="P24" s="9"/>
    </row>
    <row r="25" spans="1:19" x14ac:dyDescent="0.2">
      <c r="A25" s="2">
        <v>2009</v>
      </c>
      <c r="F25">
        <f t="shared" si="4"/>
        <v>6279.4615384615427</v>
      </c>
      <c r="H25">
        <f t="shared" si="3"/>
        <v>93.538461538461888</v>
      </c>
      <c r="J25">
        <f t="shared" si="1"/>
        <v>0</v>
      </c>
      <c r="O25">
        <f>'Rail.Act'!I25</f>
        <v>180.9</v>
      </c>
      <c r="P25" s="9"/>
    </row>
    <row r="26" spans="1:19" x14ac:dyDescent="0.2">
      <c r="A26" s="2">
        <v>2010</v>
      </c>
      <c r="F26">
        <f>R26</f>
        <v>6373</v>
      </c>
      <c r="H26">
        <f t="shared" si="3"/>
        <v>93.538461538457341</v>
      </c>
      <c r="J26">
        <f t="shared" si="1"/>
        <v>0</v>
      </c>
      <c r="L26">
        <v>6373</v>
      </c>
      <c r="O26">
        <f>'Rail.Act'!I26</f>
        <v>183.4</v>
      </c>
      <c r="P26" s="9"/>
      <c r="Q26">
        <f>R26/'Rail.Act'!$M$40</f>
        <v>1263.0508397771132</v>
      </c>
      <c r="R26">
        <f t="shared" ref="R26" si="5">L26</f>
        <v>6373</v>
      </c>
      <c r="S26">
        <f>R26/'Rail.Act'!$M$40*'Rail.Act'!$N$40</f>
        <v>455571.18561194884</v>
      </c>
    </row>
    <row r="27" spans="1:19" x14ac:dyDescent="0.2">
      <c r="A27" s="2">
        <v>2011</v>
      </c>
      <c r="F27">
        <f>F26+(R$31-R$26)/(A$31-A$26)</f>
        <v>6447</v>
      </c>
      <c r="H27">
        <f t="shared" si="3"/>
        <v>74</v>
      </c>
      <c r="J27">
        <f t="shared" si="1"/>
        <v>0</v>
      </c>
      <c r="O27">
        <f>'Rail.Act'!I27</f>
        <v>182.8</v>
      </c>
      <c r="P27" s="9"/>
    </row>
    <row r="28" spans="1:19" x14ac:dyDescent="0.2">
      <c r="A28" s="2">
        <v>2012</v>
      </c>
      <c r="F28">
        <f>F27+(R$31-R$26)/(A$31-A$26)</f>
        <v>6521</v>
      </c>
      <c r="H28">
        <f t="shared" si="3"/>
        <v>74</v>
      </c>
      <c r="J28">
        <f t="shared" si="1"/>
        <v>0</v>
      </c>
      <c r="O28">
        <f>'Rail.Act'!I28</f>
        <v>185.2</v>
      </c>
      <c r="P28" s="9"/>
    </row>
    <row r="29" spans="1:19" x14ac:dyDescent="0.2">
      <c r="A29" s="2">
        <v>2013</v>
      </c>
      <c r="F29">
        <f>F28+(R$31-R$26)/(A$31-A$26)</f>
        <v>6595</v>
      </c>
      <c r="H29">
        <f t="shared" si="3"/>
        <v>74</v>
      </c>
      <c r="J29">
        <f t="shared" si="1"/>
        <v>0</v>
      </c>
      <c r="O29">
        <f>'Rail.Act'!I29</f>
        <v>187.8</v>
      </c>
      <c r="P29" s="9"/>
    </row>
    <row r="30" spans="1:19" x14ac:dyDescent="0.2">
      <c r="A30" s="2">
        <v>2014</v>
      </c>
      <c r="F30">
        <f>F29+(R$31-R$26)/(A$31-A$26)</f>
        <v>6669</v>
      </c>
      <c r="H30">
        <f t="shared" si="3"/>
        <v>74</v>
      </c>
      <c r="J30">
        <f t="shared" si="1"/>
        <v>0</v>
      </c>
      <c r="O30">
        <f>'Rail.Act'!I30</f>
        <v>191.8</v>
      </c>
      <c r="P30" s="9"/>
    </row>
    <row r="31" spans="1:19" x14ac:dyDescent="0.2">
      <c r="A31" s="2">
        <v>2015</v>
      </c>
      <c r="F31">
        <f>R31</f>
        <v>6743</v>
      </c>
      <c r="H31">
        <f t="shared" si="3"/>
        <v>74</v>
      </c>
      <c r="J31">
        <f t="shared" si="1"/>
        <v>0</v>
      </c>
      <c r="L31">
        <v>6743</v>
      </c>
      <c r="O31">
        <f>'Rail.Act'!I31</f>
        <v>194.1</v>
      </c>
      <c r="P31" s="9"/>
      <c r="Q31">
        <f>R31/'Rail.Act'!$M$40</f>
        <v>1336.380325218433</v>
      </c>
      <c r="R31">
        <f t="shared" ref="R31" si="6">L31</f>
        <v>6743</v>
      </c>
      <c r="S31">
        <f>R31/'Rail.Act'!$M$40*'Rail.Act'!$N$40</f>
        <v>482020.47773126798</v>
      </c>
    </row>
    <row r="32" spans="1:19" x14ac:dyDescent="0.2">
      <c r="A32" s="2">
        <v>2016</v>
      </c>
      <c r="F32">
        <f>F31+(R$36-R$31)/(A$36-A$31)</f>
        <v>6893.8</v>
      </c>
      <c r="H32">
        <f t="shared" si="3"/>
        <v>150.80000000000018</v>
      </c>
      <c r="J32">
        <f t="shared" si="1"/>
        <v>0</v>
      </c>
      <c r="O32">
        <f>'Rail.Act'!I32</f>
        <v>199.3</v>
      </c>
      <c r="P32" s="9"/>
    </row>
    <row r="33" spans="1:19" x14ac:dyDescent="0.2">
      <c r="A33" s="2">
        <v>2017</v>
      </c>
      <c r="F33">
        <f>F32+(R$36-R$31)/(A$36-A$31)</f>
        <v>7044.6</v>
      </c>
      <c r="H33">
        <f t="shared" si="3"/>
        <v>150.80000000000018</v>
      </c>
      <c r="J33">
        <f t="shared" si="1"/>
        <v>0</v>
      </c>
      <c r="O33">
        <f>'Rail.Act'!I33</f>
        <v>197.6</v>
      </c>
      <c r="P33" s="9"/>
    </row>
    <row r="34" spans="1:19" x14ac:dyDescent="0.2">
      <c r="A34" s="2">
        <v>2018</v>
      </c>
      <c r="F34">
        <f>F33+(R$36-R$31)/(A$36-A$31)</f>
        <v>7195.4000000000005</v>
      </c>
      <c r="H34">
        <f t="shared" si="3"/>
        <v>150.80000000000018</v>
      </c>
      <c r="J34">
        <f t="shared" si="1"/>
        <v>0</v>
      </c>
      <c r="O34">
        <f>'Rail.Act'!I34</f>
        <v>197.8</v>
      </c>
      <c r="P34" s="9"/>
    </row>
    <row r="35" spans="1:19" x14ac:dyDescent="0.2">
      <c r="A35" s="2">
        <v>2019</v>
      </c>
      <c r="F35">
        <f>F34+(R$36-R$31)/(A$36-A$31)</f>
        <v>7346.2000000000007</v>
      </c>
      <c r="H35">
        <f t="shared" si="3"/>
        <v>150.80000000000018</v>
      </c>
      <c r="J35">
        <f t="shared" si="1"/>
        <v>0</v>
      </c>
      <c r="O35">
        <f>'Rail.Act'!I35</f>
        <v>201</v>
      </c>
      <c r="P35" s="9"/>
    </row>
    <row r="36" spans="1:19" x14ac:dyDescent="0.2">
      <c r="A36" s="2">
        <v>2020</v>
      </c>
      <c r="F36">
        <f>R36</f>
        <v>7497</v>
      </c>
      <c r="H36">
        <f t="shared" si="3"/>
        <v>150.79999999999927</v>
      </c>
      <c r="J36">
        <f t="shared" si="1"/>
        <v>0</v>
      </c>
      <c r="L36">
        <v>7497</v>
      </c>
      <c r="O36">
        <f>'Rail.Act'!I36</f>
        <v>195</v>
      </c>
      <c r="P36" s="9"/>
      <c r="Q36">
        <f>R36/'Rail.Act'!$M$40</f>
        <v>1485.8139252799335</v>
      </c>
      <c r="R36">
        <f t="shared" ref="R36" si="7">L36</f>
        <v>7497</v>
      </c>
      <c r="S36">
        <f>R36/'Rail.Act'!$M$40*'Rail.Act'!$N$40</f>
        <v>535919.84599604271</v>
      </c>
    </row>
    <row r="37" spans="1:19" x14ac:dyDescent="0.2">
      <c r="A37" s="2">
        <v>2021</v>
      </c>
      <c r="O37">
        <f>'Rail.Act'!I37</f>
        <v>205</v>
      </c>
      <c r="P37" s="9"/>
    </row>
    <row r="38" spans="1:19" x14ac:dyDescent="0.2">
      <c r="A38" s="4"/>
    </row>
    <row r="39" spans="1:19" x14ac:dyDescent="0.2">
      <c r="A39" s="2" t="s">
        <v>49</v>
      </c>
      <c r="L39">
        <v>78.572999999999993</v>
      </c>
    </row>
    <row r="43" spans="1:19" s="36" customFormat="1" ht="119" x14ac:dyDescent="0.2">
      <c r="A43" s="11" t="s">
        <v>6</v>
      </c>
      <c r="B43" s="36" t="s">
        <v>182</v>
      </c>
      <c r="C43" s="35"/>
      <c r="E43" s="35"/>
      <c r="F43" s="36" t="s">
        <v>8</v>
      </c>
      <c r="G43" s="35"/>
      <c r="H43" s="36" t="s">
        <v>8</v>
      </c>
      <c r="I43" s="35"/>
      <c r="J43" s="36" t="s">
        <v>8</v>
      </c>
      <c r="K43" s="35"/>
      <c r="L43" s="36" t="s">
        <v>8</v>
      </c>
      <c r="Q43" s="36" t="s">
        <v>8</v>
      </c>
    </row>
    <row r="44" spans="1:19" x14ac:dyDescent="0.2">
      <c r="A44" s="2" t="s">
        <v>7</v>
      </c>
      <c r="C44" s="7"/>
    </row>
    <row r="47" spans="1:19" x14ac:dyDescent="0.2">
      <c r="H47">
        <f>AVERAGE(H7:H36)</f>
        <v>87.63333333333334</v>
      </c>
    </row>
  </sheetData>
  <mergeCells count="5">
    <mergeCell ref="L1:T1"/>
    <mergeCell ref="L4:M4"/>
    <mergeCell ref="Q4:S4"/>
    <mergeCell ref="L2:M2"/>
    <mergeCell ref="Q2:S2"/>
  </mergeCells>
  <conditionalFormatting sqref="H6:H36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8C-08FF-A945-BA16-7A0B21442F99}">
  <dimension ref="A1:AC4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baseColWidth="10" defaultRowHeight="16" x14ac:dyDescent="0.2"/>
  <cols>
    <col min="1" max="1" width="10.83203125" style="2"/>
    <col min="2" max="2" width="15.83203125" customWidth="1"/>
    <col min="3" max="3" width="10.83203125" style="7"/>
    <col min="4" max="4" width="20.6640625" customWidth="1"/>
    <col min="5" max="5" width="10.83203125" style="7"/>
    <col min="8" max="8" width="10.83203125" style="7"/>
    <col min="9" max="9" width="12.6640625" bestFit="1" customWidth="1"/>
  </cols>
  <sheetData>
    <row r="1" spans="1:29" s="2" customFormat="1" ht="65" customHeight="1" x14ac:dyDescent="0.2">
      <c r="B1" s="29" t="s">
        <v>93</v>
      </c>
      <c r="C1" s="28"/>
      <c r="D1" s="30" t="s">
        <v>112</v>
      </c>
      <c r="E1" s="6"/>
      <c r="F1" s="89" t="s">
        <v>184</v>
      </c>
      <c r="G1" s="89"/>
      <c r="H1" s="6"/>
      <c r="I1" s="87" t="s">
        <v>181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9" s="2" customFormat="1" x14ac:dyDescent="0.2">
      <c r="B2" s="2" t="s">
        <v>93</v>
      </c>
      <c r="C2" s="6"/>
      <c r="D2" s="1"/>
      <c r="E2" s="6"/>
      <c r="F2" s="2" t="s">
        <v>187</v>
      </c>
      <c r="G2" s="2" t="s">
        <v>186</v>
      </c>
      <c r="H2" s="6"/>
      <c r="I2" s="56" t="s">
        <v>189</v>
      </c>
      <c r="J2" s="56"/>
      <c r="K2" s="56"/>
      <c r="L2" s="1"/>
      <c r="M2" s="56" t="s">
        <v>192</v>
      </c>
      <c r="N2" s="56"/>
      <c r="O2" s="1"/>
      <c r="Q2" s="56" t="s">
        <v>190</v>
      </c>
      <c r="R2" s="56"/>
      <c r="S2" s="56"/>
      <c r="T2" s="1"/>
      <c r="U2" s="2" t="s">
        <v>193</v>
      </c>
      <c r="W2" s="2" t="s">
        <v>108</v>
      </c>
      <c r="Y2" s="1" t="s">
        <v>173</v>
      </c>
      <c r="AA2" s="2" t="s">
        <v>196</v>
      </c>
    </row>
    <row r="3" spans="1:29" s="2" customFormat="1" x14ac:dyDescent="0.2">
      <c r="A3" s="2" t="s">
        <v>52</v>
      </c>
      <c r="C3" s="6"/>
      <c r="D3" s="2" t="s">
        <v>171</v>
      </c>
      <c r="E3" s="6"/>
      <c r="F3" s="56" t="s">
        <v>171</v>
      </c>
      <c r="G3" s="56"/>
      <c r="H3" s="6"/>
      <c r="I3" s="56" t="s">
        <v>171</v>
      </c>
      <c r="J3" s="56"/>
      <c r="K3" s="56"/>
      <c r="L3" s="1"/>
      <c r="M3" s="56" t="s">
        <v>171</v>
      </c>
      <c r="N3" s="56"/>
      <c r="O3" s="1"/>
      <c r="Q3" s="56" t="s">
        <v>171</v>
      </c>
      <c r="R3" s="56"/>
      <c r="S3" s="56"/>
      <c r="T3" s="1"/>
      <c r="U3" s="2" t="s">
        <v>171</v>
      </c>
      <c r="W3" s="2" t="s">
        <v>171</v>
      </c>
      <c r="Y3" s="1" t="s">
        <v>171</v>
      </c>
      <c r="AA3" s="2" t="s">
        <v>171</v>
      </c>
    </row>
    <row r="4" spans="1:29" s="2" customFormat="1" x14ac:dyDescent="0.2">
      <c r="A4" s="2" t="s">
        <v>51</v>
      </c>
      <c r="C4" s="6"/>
      <c r="D4" s="2" t="s">
        <v>172</v>
      </c>
      <c r="E4" s="6"/>
      <c r="F4" s="56" t="s">
        <v>172</v>
      </c>
      <c r="G4" s="56"/>
      <c r="H4" s="6"/>
      <c r="I4" s="56" t="s">
        <v>172</v>
      </c>
      <c r="J4" s="56"/>
      <c r="K4" s="56"/>
      <c r="L4" s="1"/>
      <c r="M4" s="56" t="s">
        <v>172</v>
      </c>
      <c r="N4" s="56"/>
      <c r="O4" s="1"/>
      <c r="Q4" s="56" t="s">
        <v>172</v>
      </c>
      <c r="R4" s="56"/>
      <c r="S4" s="56"/>
      <c r="T4" s="1"/>
      <c r="U4" s="2" t="s">
        <v>172</v>
      </c>
      <c r="W4" s="2" t="s">
        <v>172</v>
      </c>
      <c r="Y4" s="1" t="s">
        <v>172</v>
      </c>
      <c r="AA4" s="2" t="s">
        <v>172</v>
      </c>
    </row>
    <row r="5" spans="1:29" s="11" customFormat="1" ht="34" x14ac:dyDescent="0.2">
      <c r="A5" s="11" t="s">
        <v>90</v>
      </c>
      <c r="B5" s="11" t="s">
        <v>176</v>
      </c>
      <c r="C5" s="16"/>
      <c r="D5" s="11" t="s">
        <v>194</v>
      </c>
      <c r="E5" s="16"/>
      <c r="H5" s="16"/>
      <c r="I5" s="11" t="s">
        <v>174</v>
      </c>
      <c r="J5" s="11" t="s">
        <v>175</v>
      </c>
      <c r="K5" s="11" t="s">
        <v>176</v>
      </c>
      <c r="M5" s="11" t="s">
        <v>41</v>
      </c>
      <c r="N5" s="11" t="s">
        <v>42</v>
      </c>
      <c r="O5" s="11" t="s">
        <v>195</v>
      </c>
      <c r="Q5" s="11" t="s">
        <v>174</v>
      </c>
      <c r="R5" s="11" t="s">
        <v>175</v>
      </c>
      <c r="S5" s="11" t="s">
        <v>176</v>
      </c>
      <c r="U5" s="11" t="s">
        <v>101</v>
      </c>
      <c r="W5" s="11" t="s">
        <v>191</v>
      </c>
      <c r="Y5" s="11" t="str">
        <f>'Rail.Cap'!F5</f>
        <v>Cars</v>
      </c>
      <c r="AA5" s="11" t="s">
        <v>194</v>
      </c>
    </row>
    <row r="6" spans="1:29" x14ac:dyDescent="0.2">
      <c r="A6">
        <v>1990</v>
      </c>
      <c r="B6">
        <f>S6</f>
        <v>49826</v>
      </c>
      <c r="D6">
        <f>$AA$40</f>
        <v>9.7536356046383688</v>
      </c>
      <c r="F6">
        <v>0</v>
      </c>
      <c r="G6">
        <v>1</v>
      </c>
      <c r="I6">
        <v>134.916</v>
      </c>
      <c r="J6">
        <v>751.4</v>
      </c>
      <c r="K6">
        <v>49826</v>
      </c>
      <c r="M6">
        <f t="shared" ref="M6:M11" si="0">J6/I6</f>
        <v>5.5693913249725755</v>
      </c>
      <c r="N6">
        <f t="shared" ref="N6:N11" si="1">K6/I6</f>
        <v>369.31127516380565</v>
      </c>
      <c r="Q6">
        <f t="shared" ref="Q6:S11" si="2">I6</f>
        <v>134.916</v>
      </c>
      <c r="R6">
        <f t="shared" si="2"/>
        <v>751.4</v>
      </c>
      <c r="S6">
        <f t="shared" si="2"/>
        <v>49826</v>
      </c>
      <c r="U6">
        <v>12678</v>
      </c>
      <c r="W6">
        <f t="shared" ref="W6:W37" si="3">U6/S6</f>
        <v>0.25444547023642278</v>
      </c>
      <c r="Y6">
        <f>'Rail.Cap'!F6</f>
        <v>4944</v>
      </c>
      <c r="AA6">
        <f t="shared" ref="AA6:AA36" si="4">S6/Y6</f>
        <v>10.078074433656958</v>
      </c>
      <c r="AC6">
        <f t="shared" ref="AC6:AC37" si="5">D6*G6*Y6</f>
        <v>48221.974429332098</v>
      </c>
    </row>
    <row r="7" spans="1:29" x14ac:dyDescent="0.2">
      <c r="A7">
        <v>1991</v>
      </c>
      <c r="B7">
        <f t="shared" ref="B7:B37" si="6">S7</f>
        <v>48346</v>
      </c>
      <c r="F7">
        <v>0</v>
      </c>
      <c r="G7">
        <v>1</v>
      </c>
      <c r="I7">
        <v>137.66800000000001</v>
      </c>
      <c r="J7">
        <v>761.7</v>
      </c>
      <c r="K7">
        <v>48346</v>
      </c>
      <c r="M7">
        <f t="shared" si="0"/>
        <v>5.5328761949036815</v>
      </c>
      <c r="N7">
        <f t="shared" si="1"/>
        <v>351.1781968213383</v>
      </c>
      <c r="Q7">
        <f t="shared" si="2"/>
        <v>137.66800000000001</v>
      </c>
      <c r="R7">
        <f t="shared" si="2"/>
        <v>761.7</v>
      </c>
      <c r="S7">
        <f t="shared" si="2"/>
        <v>48346</v>
      </c>
      <c r="U7">
        <v>13834</v>
      </c>
      <c r="W7">
        <f t="shared" si="3"/>
        <v>0.28614569974765236</v>
      </c>
      <c r="Y7">
        <f>'Rail.Cap'!F7</f>
        <v>5216</v>
      </c>
      <c r="AA7">
        <f t="shared" si="4"/>
        <v>9.268788343558283</v>
      </c>
      <c r="AC7">
        <f t="shared" si="5"/>
        <v>0</v>
      </c>
    </row>
    <row r="8" spans="1:29" x14ac:dyDescent="0.2">
      <c r="A8">
        <v>1992</v>
      </c>
      <c r="B8">
        <f t="shared" si="6"/>
        <v>48726</v>
      </c>
      <c r="F8">
        <v>0</v>
      </c>
      <c r="G8">
        <v>1</v>
      </c>
      <c r="I8">
        <v>136.786</v>
      </c>
      <c r="J8">
        <v>758.8</v>
      </c>
      <c r="K8">
        <v>48726</v>
      </c>
      <c r="M8">
        <f t="shared" si="0"/>
        <v>5.5473513371251437</v>
      </c>
      <c r="N8">
        <f t="shared" si="1"/>
        <v>356.22066585761701</v>
      </c>
      <c r="Q8">
        <f t="shared" si="2"/>
        <v>136.786</v>
      </c>
      <c r="R8">
        <f t="shared" si="2"/>
        <v>758.8</v>
      </c>
      <c r="S8">
        <f t="shared" si="2"/>
        <v>48726</v>
      </c>
      <c r="U8">
        <v>13209</v>
      </c>
      <c r="W8">
        <f t="shared" si="3"/>
        <v>0.27108730451914786</v>
      </c>
      <c r="Y8">
        <f>'Rail.Cap'!F8</f>
        <v>5209</v>
      </c>
      <c r="AA8">
        <f t="shared" si="4"/>
        <v>9.3541946630831259</v>
      </c>
      <c r="AC8">
        <f t="shared" si="5"/>
        <v>0</v>
      </c>
    </row>
    <row r="9" spans="1:29" x14ac:dyDescent="0.2">
      <c r="A9">
        <v>1993</v>
      </c>
      <c r="B9">
        <f t="shared" si="6"/>
        <v>48656</v>
      </c>
      <c r="F9">
        <v>0</v>
      </c>
      <c r="G9">
        <v>1</v>
      </c>
      <c r="I9">
        <v>135.56899999999999</v>
      </c>
      <c r="J9">
        <v>752.3</v>
      </c>
      <c r="K9">
        <v>48656</v>
      </c>
      <c r="M9">
        <f t="shared" si="0"/>
        <v>5.5492037265156489</v>
      </c>
      <c r="N9">
        <f t="shared" si="1"/>
        <v>358.90210888920035</v>
      </c>
      <c r="Q9">
        <f t="shared" si="2"/>
        <v>135.56899999999999</v>
      </c>
      <c r="R9">
        <f t="shared" si="2"/>
        <v>752.3</v>
      </c>
      <c r="S9">
        <f t="shared" si="2"/>
        <v>48656</v>
      </c>
      <c r="U9">
        <v>13384</v>
      </c>
      <c r="W9">
        <f t="shared" si="3"/>
        <v>0.27507398881946726</v>
      </c>
      <c r="Y9">
        <f>'Rail.Cap'!F9</f>
        <v>5216</v>
      </c>
      <c r="AA9">
        <f t="shared" si="4"/>
        <v>9.3282208588957047</v>
      </c>
      <c r="AC9">
        <f t="shared" si="5"/>
        <v>0</v>
      </c>
    </row>
    <row r="10" spans="1:29" x14ac:dyDescent="0.2">
      <c r="A10">
        <v>1994</v>
      </c>
      <c r="B10">
        <f t="shared" si="6"/>
        <v>48200</v>
      </c>
      <c r="F10">
        <v>0</v>
      </c>
      <c r="G10">
        <v>1</v>
      </c>
      <c r="I10">
        <v>132.90199999999999</v>
      </c>
      <c r="J10">
        <v>720.2</v>
      </c>
      <c r="K10">
        <v>48200</v>
      </c>
      <c r="M10">
        <f t="shared" si="0"/>
        <v>5.4190305638741334</v>
      </c>
      <c r="N10">
        <f t="shared" si="1"/>
        <v>362.67324795714137</v>
      </c>
      <c r="Q10">
        <f t="shared" si="2"/>
        <v>132.90199999999999</v>
      </c>
      <c r="R10">
        <f t="shared" si="2"/>
        <v>720.2</v>
      </c>
      <c r="S10">
        <f t="shared" si="2"/>
        <v>48200</v>
      </c>
      <c r="U10">
        <v>13836</v>
      </c>
      <c r="W10">
        <f t="shared" si="3"/>
        <v>0.28705394190871369</v>
      </c>
      <c r="Y10">
        <f>'Rail.Cap'!F10</f>
        <v>5212</v>
      </c>
      <c r="AA10">
        <f t="shared" si="4"/>
        <v>9.2478894858019949</v>
      </c>
      <c r="AC10">
        <f t="shared" si="5"/>
        <v>0</v>
      </c>
    </row>
    <row r="11" spans="1:29" x14ac:dyDescent="0.2">
      <c r="A11">
        <v>1995</v>
      </c>
      <c r="B11">
        <f t="shared" si="6"/>
        <v>48275</v>
      </c>
      <c r="F11">
        <v>0</v>
      </c>
      <c r="G11">
        <v>1</v>
      </c>
      <c r="I11">
        <v>131.94900000000001</v>
      </c>
      <c r="J11">
        <v>703.5</v>
      </c>
      <c r="K11">
        <v>48275</v>
      </c>
      <c r="M11">
        <f t="shared" si="0"/>
        <v>5.3316053929927465</v>
      </c>
      <c r="N11">
        <f t="shared" si="1"/>
        <v>365.86105237629687</v>
      </c>
      <c r="Q11">
        <f t="shared" si="2"/>
        <v>131.94900000000001</v>
      </c>
      <c r="R11">
        <f t="shared" si="2"/>
        <v>703.5</v>
      </c>
      <c r="S11">
        <f t="shared" si="2"/>
        <v>48275</v>
      </c>
      <c r="U11">
        <v>11713</v>
      </c>
      <c r="W11">
        <f t="shared" si="3"/>
        <v>0.24263076126359398</v>
      </c>
      <c r="Y11">
        <f>'Rail.Cap'!F11</f>
        <v>5164</v>
      </c>
      <c r="AA11">
        <f t="shared" si="4"/>
        <v>9.3483733539891549</v>
      </c>
      <c r="AC11">
        <f t="shared" si="5"/>
        <v>0</v>
      </c>
    </row>
    <row r="12" spans="1:29" x14ac:dyDescent="0.2">
      <c r="A12">
        <v>1996</v>
      </c>
      <c r="B12">
        <f t="shared" si="6"/>
        <v>46951.520029675026</v>
      </c>
      <c r="F12">
        <v>0</v>
      </c>
      <c r="G12">
        <v>1</v>
      </c>
      <c r="I12">
        <v>130.17099999999999</v>
      </c>
      <c r="Q12">
        <f t="shared" ref="Q12:Q37" si="7">I12</f>
        <v>130.17099999999999</v>
      </c>
      <c r="R12">
        <f>I12*$M$40</f>
        <v>656.80632708845951</v>
      </c>
      <c r="S12">
        <f t="shared" ref="S12:S37" si="8">I12*$N$40</f>
        <v>46951.520029675026</v>
      </c>
      <c r="U12">
        <v>11890</v>
      </c>
      <c r="W12">
        <f t="shared" si="3"/>
        <v>0.25323993754590052</v>
      </c>
      <c r="Y12">
        <f>'Rail.Cap'!F12</f>
        <v>5147</v>
      </c>
      <c r="AA12">
        <f t="shared" si="4"/>
        <v>9.1221138584952453</v>
      </c>
      <c r="AC12">
        <f t="shared" si="5"/>
        <v>0</v>
      </c>
    </row>
    <row r="13" spans="1:29" x14ac:dyDescent="0.2">
      <c r="A13">
        <v>1997</v>
      </c>
      <c r="B13">
        <f t="shared" si="6"/>
        <v>47556.038298488631</v>
      </c>
      <c r="F13">
        <v>0</v>
      </c>
      <c r="G13">
        <v>1</v>
      </c>
      <c r="I13">
        <v>131.84700000000001</v>
      </c>
      <c r="Q13">
        <f t="shared" si="7"/>
        <v>131.84700000000001</v>
      </c>
      <c r="R13">
        <f>I13*$M$40</f>
        <v>665.26295263639463</v>
      </c>
      <c r="S13">
        <f t="shared" si="8"/>
        <v>47556.038298488631</v>
      </c>
      <c r="U13">
        <v>12051</v>
      </c>
      <c r="W13">
        <f t="shared" si="3"/>
        <v>0.25340630614268367</v>
      </c>
      <c r="Y13">
        <f>'Rail.Cap'!F13</f>
        <v>5157</v>
      </c>
      <c r="AA13">
        <f t="shared" si="4"/>
        <v>9.2216479151616504</v>
      </c>
      <c r="AC13">
        <f t="shared" si="5"/>
        <v>0</v>
      </c>
    </row>
    <row r="14" spans="1:29" x14ac:dyDescent="0.2">
      <c r="A14">
        <v>1998</v>
      </c>
      <c r="B14">
        <f t="shared" si="6"/>
        <v>49209.806951537772</v>
      </c>
      <c r="F14">
        <v>0</v>
      </c>
      <c r="G14">
        <v>1</v>
      </c>
      <c r="I14">
        <v>136.43199999999999</v>
      </c>
      <c r="J14">
        <v>621.4</v>
      </c>
      <c r="M14">
        <f>J14/I14</f>
        <v>4.5546499354990031</v>
      </c>
      <c r="Q14">
        <f t="shared" si="7"/>
        <v>136.43199999999999</v>
      </c>
      <c r="R14">
        <f>J14</f>
        <v>621.4</v>
      </c>
      <c r="S14">
        <f t="shared" si="8"/>
        <v>49209.806951537772</v>
      </c>
      <c r="U14">
        <v>12148</v>
      </c>
      <c r="W14">
        <f t="shared" si="3"/>
        <v>0.24686136265406308</v>
      </c>
      <c r="Y14">
        <f>'Rail.Cap'!F14</f>
        <v>5250.5384615384619</v>
      </c>
      <c r="AA14">
        <f t="shared" si="4"/>
        <v>9.3723352970389993</v>
      </c>
      <c r="AC14">
        <f t="shared" si="5"/>
        <v>0</v>
      </c>
    </row>
    <row r="15" spans="1:29" x14ac:dyDescent="0.2">
      <c r="A15">
        <v>1999</v>
      </c>
      <c r="B15">
        <f t="shared" si="6"/>
        <v>49292.765902508618</v>
      </c>
      <c r="F15">
        <v>0</v>
      </c>
      <c r="G15">
        <v>1</v>
      </c>
      <c r="I15">
        <v>136.66200000000001</v>
      </c>
      <c r="J15">
        <v>623.6</v>
      </c>
      <c r="M15">
        <f>J15/I15</f>
        <v>4.5630826418463073</v>
      </c>
      <c r="Q15">
        <f t="shared" si="7"/>
        <v>136.66200000000001</v>
      </c>
      <c r="R15">
        <f>J15</f>
        <v>623.6</v>
      </c>
      <c r="S15">
        <f t="shared" si="8"/>
        <v>49292.765902508618</v>
      </c>
      <c r="U15">
        <v>12501</v>
      </c>
      <c r="W15">
        <f t="shared" si="3"/>
        <v>0.25360719308639562</v>
      </c>
      <c r="Y15">
        <f>'Rail.Cap'!F15</f>
        <v>5344.0769230769238</v>
      </c>
      <c r="AA15">
        <f t="shared" si="4"/>
        <v>9.2238129450665998</v>
      </c>
      <c r="AC15">
        <f t="shared" si="5"/>
        <v>0</v>
      </c>
    </row>
    <row r="16" spans="1:29" x14ac:dyDescent="0.2">
      <c r="A16">
        <v>2000</v>
      </c>
      <c r="B16">
        <f t="shared" si="6"/>
        <v>50746.350999954208</v>
      </c>
      <c r="F16">
        <v>0</v>
      </c>
      <c r="G16">
        <v>1</v>
      </c>
      <c r="I16">
        <v>140.69200000000001</v>
      </c>
      <c r="J16">
        <v>642.5</v>
      </c>
      <c r="M16">
        <f>J16/I16</f>
        <v>4.5667131038012112</v>
      </c>
      <c r="Q16">
        <f t="shared" si="7"/>
        <v>140.69200000000001</v>
      </c>
      <c r="R16">
        <f>J16</f>
        <v>642.5</v>
      </c>
      <c r="S16">
        <f t="shared" si="8"/>
        <v>50746.350999954208</v>
      </c>
      <c r="U16">
        <v>12620</v>
      </c>
      <c r="W16">
        <f t="shared" si="3"/>
        <v>0.24868783176176329</v>
      </c>
      <c r="Y16">
        <f>'Rail.Cap'!F16</f>
        <v>5437.6153846153857</v>
      </c>
      <c r="AA16">
        <f t="shared" si="4"/>
        <v>9.3324642164891927</v>
      </c>
      <c r="AC16">
        <f t="shared" si="5"/>
        <v>0</v>
      </c>
    </row>
    <row r="17" spans="1:29" x14ac:dyDescent="0.2">
      <c r="A17">
        <v>2001</v>
      </c>
      <c r="B17">
        <f t="shared" si="6"/>
        <v>52039.789252916955</v>
      </c>
      <c r="F17">
        <v>0</v>
      </c>
      <c r="G17">
        <v>1</v>
      </c>
      <c r="I17">
        <v>144.27799999999999</v>
      </c>
      <c r="J17">
        <v>642.6</v>
      </c>
      <c r="M17">
        <f>J17/I17</f>
        <v>4.4539014957235343</v>
      </c>
      <c r="Q17">
        <f t="shared" si="7"/>
        <v>144.27799999999999</v>
      </c>
      <c r="R17">
        <f>J17</f>
        <v>642.6</v>
      </c>
      <c r="S17">
        <f t="shared" si="8"/>
        <v>52039.789252916955</v>
      </c>
      <c r="U17">
        <v>13301</v>
      </c>
      <c r="W17">
        <f t="shared" si="3"/>
        <v>0.25559288749914466</v>
      </c>
      <c r="Y17">
        <f>'Rail.Cap'!F17</f>
        <v>5531.1538461538476</v>
      </c>
      <c r="AA17">
        <f t="shared" si="4"/>
        <v>9.4084870355040717</v>
      </c>
      <c r="AC17">
        <f t="shared" si="5"/>
        <v>0</v>
      </c>
    </row>
    <row r="18" spans="1:29" x14ac:dyDescent="0.2">
      <c r="A18">
        <v>2002</v>
      </c>
      <c r="B18">
        <f t="shared" si="6"/>
        <v>53330.341977150296</v>
      </c>
      <c r="F18">
        <v>0</v>
      </c>
      <c r="G18">
        <v>1</v>
      </c>
      <c r="I18">
        <v>147.85599999999999</v>
      </c>
      <c r="J18">
        <v>652.79999999999995</v>
      </c>
      <c r="M18">
        <f>J18/I18</f>
        <v>4.4151065901958662</v>
      </c>
      <c r="Q18">
        <f t="shared" si="7"/>
        <v>147.85599999999999</v>
      </c>
      <c r="R18">
        <f>J18</f>
        <v>652.79999999999995</v>
      </c>
      <c r="S18">
        <f t="shared" si="8"/>
        <v>53330.341977150296</v>
      </c>
      <c r="U18">
        <v>14147</v>
      </c>
      <c r="W18">
        <f t="shared" si="3"/>
        <v>0.26527112850807083</v>
      </c>
      <c r="Y18">
        <f>'Rail.Cap'!F18</f>
        <v>5624.6923076923094</v>
      </c>
      <c r="AA18">
        <f t="shared" si="4"/>
        <v>9.4814683292481448</v>
      </c>
      <c r="AC18">
        <f t="shared" si="5"/>
        <v>0</v>
      </c>
    </row>
    <row r="19" spans="1:29" x14ac:dyDescent="0.2">
      <c r="A19">
        <v>2003</v>
      </c>
      <c r="B19">
        <f t="shared" si="6"/>
        <v>53102.74589861725</v>
      </c>
      <c r="F19">
        <v>0</v>
      </c>
      <c r="G19">
        <v>1</v>
      </c>
      <c r="I19">
        <v>147.22499999999999</v>
      </c>
      <c r="J19" s="9"/>
      <c r="Q19">
        <f t="shared" si="7"/>
        <v>147.22499999999999</v>
      </c>
      <c r="R19">
        <f t="shared" ref="R19:R37" si="9">I19*$M$40</f>
        <v>742.85602404220947</v>
      </c>
      <c r="S19">
        <f t="shared" si="8"/>
        <v>53102.74589861725</v>
      </c>
      <c r="U19">
        <v>14509</v>
      </c>
      <c r="W19">
        <f t="shared" si="3"/>
        <v>0.27322504240553408</v>
      </c>
      <c r="Y19">
        <f>'Rail.Cap'!F19</f>
        <v>5718.2307692307713</v>
      </c>
      <c r="AA19">
        <f t="shared" si="4"/>
        <v>9.2865692277334837</v>
      </c>
      <c r="AC19">
        <f t="shared" si="5"/>
        <v>0</v>
      </c>
    </row>
    <row r="20" spans="1:29" x14ac:dyDescent="0.2">
      <c r="A20">
        <v>2004</v>
      </c>
      <c r="B20">
        <f t="shared" si="6"/>
        <v>54357.950895915186</v>
      </c>
      <c r="F20">
        <v>0</v>
      </c>
      <c r="G20">
        <v>1</v>
      </c>
      <c r="I20">
        <v>150.70500000000001</v>
      </c>
      <c r="J20" s="9"/>
      <c r="Q20">
        <f t="shared" si="7"/>
        <v>150.70500000000001</v>
      </c>
      <c r="R20">
        <f t="shared" si="9"/>
        <v>760.41512720856645</v>
      </c>
      <c r="S20">
        <f t="shared" si="8"/>
        <v>54357.950895915186</v>
      </c>
      <c r="U20">
        <v>14914</v>
      </c>
      <c r="W20">
        <f t="shared" si="3"/>
        <v>0.27436648648800954</v>
      </c>
      <c r="Y20">
        <f>'Rail.Cap'!F20</f>
        <v>5811.7692307692332</v>
      </c>
      <c r="AA20">
        <f t="shared" si="4"/>
        <v>9.3530814348456985</v>
      </c>
      <c r="AC20">
        <f t="shared" si="5"/>
        <v>0</v>
      </c>
    </row>
    <row r="21" spans="1:29" x14ac:dyDescent="0.2">
      <c r="A21" s="2">
        <v>2005</v>
      </c>
      <c r="B21">
        <f t="shared" si="6"/>
        <v>59014.472883017574</v>
      </c>
      <c r="F21">
        <v>0</v>
      </c>
      <c r="G21">
        <v>1</v>
      </c>
      <c r="I21">
        <v>163.61500000000001</v>
      </c>
      <c r="J21" s="9"/>
      <c r="Q21">
        <f t="shared" si="7"/>
        <v>163.61500000000001</v>
      </c>
      <c r="R21">
        <f t="shared" si="9"/>
        <v>825.55536338030981</v>
      </c>
      <c r="S21">
        <f t="shared" si="8"/>
        <v>59014.472883017574</v>
      </c>
      <c r="U21">
        <v>16143.9</v>
      </c>
      <c r="W21">
        <f t="shared" si="3"/>
        <v>0.27355831902458089</v>
      </c>
      <c r="Y21">
        <f>'Rail.Cap'!F21</f>
        <v>5905.3076923076951</v>
      </c>
      <c r="AA21">
        <f t="shared" si="4"/>
        <v>9.9934628232649647</v>
      </c>
      <c r="AC21">
        <f t="shared" si="5"/>
        <v>0</v>
      </c>
    </row>
    <row r="22" spans="1:29" x14ac:dyDescent="0.2">
      <c r="A22" s="2">
        <v>2006</v>
      </c>
      <c r="B22">
        <f t="shared" si="6"/>
        <v>59730.444699005035</v>
      </c>
      <c r="F22">
        <v>0</v>
      </c>
      <c r="G22">
        <v>1</v>
      </c>
      <c r="I22">
        <v>165.6</v>
      </c>
      <c r="J22" s="9"/>
      <c r="Q22">
        <f t="shared" si="7"/>
        <v>165.6</v>
      </c>
      <c r="R22">
        <f t="shared" si="9"/>
        <v>835.57111619215414</v>
      </c>
      <c r="S22">
        <f t="shared" si="8"/>
        <v>59730.444699005035</v>
      </c>
      <c r="U22">
        <v>16577.900000000001</v>
      </c>
      <c r="W22">
        <f t="shared" si="3"/>
        <v>0.27754522979930452</v>
      </c>
      <c r="Y22">
        <f>'Rail.Cap'!F22</f>
        <v>5998.846153846157</v>
      </c>
      <c r="AA22">
        <f t="shared" si="4"/>
        <v>9.9569889220627683</v>
      </c>
      <c r="AC22">
        <f t="shared" si="5"/>
        <v>0</v>
      </c>
    </row>
    <row r="23" spans="1:29" x14ac:dyDescent="0.2">
      <c r="A23" s="2">
        <v>2007</v>
      </c>
      <c r="B23">
        <f t="shared" si="6"/>
        <v>60848.587081655489</v>
      </c>
      <c r="F23">
        <v>0</v>
      </c>
      <c r="G23">
        <v>1</v>
      </c>
      <c r="I23">
        <v>168.7</v>
      </c>
      <c r="J23" s="9"/>
      <c r="Q23">
        <f t="shared" si="7"/>
        <v>168.7</v>
      </c>
      <c r="R23">
        <f t="shared" si="9"/>
        <v>851.21284602425351</v>
      </c>
      <c r="S23">
        <f t="shared" si="8"/>
        <v>60848.587081655489</v>
      </c>
      <c r="U23">
        <v>17434.099999999999</v>
      </c>
      <c r="W23">
        <f t="shared" si="3"/>
        <v>0.28651610228195418</v>
      </c>
      <c r="Y23">
        <f>'Rail.Cap'!F23</f>
        <v>6092.3846153846189</v>
      </c>
      <c r="AA23">
        <f t="shared" si="4"/>
        <v>9.9876470254355496</v>
      </c>
      <c r="AC23">
        <f t="shared" si="5"/>
        <v>0</v>
      </c>
    </row>
    <row r="24" spans="1:29" x14ac:dyDescent="0.2">
      <c r="A24" s="2">
        <v>2008</v>
      </c>
      <c r="B24">
        <f t="shared" si="6"/>
        <v>61966.729464305958</v>
      </c>
      <c r="F24">
        <v>0</v>
      </c>
      <c r="G24">
        <v>1</v>
      </c>
      <c r="I24">
        <v>171.8</v>
      </c>
      <c r="J24" s="9"/>
      <c r="Q24">
        <f t="shared" si="7"/>
        <v>171.8</v>
      </c>
      <c r="R24">
        <f t="shared" si="9"/>
        <v>866.85457585635322</v>
      </c>
      <c r="S24">
        <f t="shared" si="8"/>
        <v>61966.729464305958</v>
      </c>
      <c r="U24">
        <v>17775.5</v>
      </c>
      <c r="W24">
        <f t="shared" si="3"/>
        <v>0.28685554576894418</v>
      </c>
      <c r="Y24">
        <f>'Rail.Cap'!F24</f>
        <v>6185.9230769230808</v>
      </c>
      <c r="AA24">
        <f t="shared" si="4"/>
        <v>10.017377955357411</v>
      </c>
      <c r="AC24">
        <f t="shared" si="5"/>
        <v>0</v>
      </c>
    </row>
    <row r="25" spans="1:29" x14ac:dyDescent="0.2">
      <c r="A25" s="2">
        <v>2009</v>
      </c>
      <c r="B25">
        <f t="shared" si="6"/>
        <v>65249.018394021812</v>
      </c>
      <c r="F25">
        <v>0</v>
      </c>
      <c r="G25">
        <v>1</v>
      </c>
      <c r="I25">
        <v>180.9</v>
      </c>
      <c r="J25" s="9"/>
      <c r="Q25">
        <f t="shared" si="7"/>
        <v>180.9</v>
      </c>
      <c r="R25">
        <f t="shared" si="9"/>
        <v>912.77062149251617</v>
      </c>
      <c r="S25">
        <f t="shared" si="8"/>
        <v>65249.018394021812</v>
      </c>
      <c r="U25">
        <v>18570.7</v>
      </c>
      <c r="W25">
        <f t="shared" si="3"/>
        <v>0.28461271076687139</v>
      </c>
      <c r="Y25">
        <f>'Rail.Cap'!F25</f>
        <v>6279.4615384615427</v>
      </c>
      <c r="AA25">
        <f t="shared" si="4"/>
        <v>10.390862018084389</v>
      </c>
      <c r="AC25">
        <f t="shared" si="5"/>
        <v>0</v>
      </c>
    </row>
    <row r="26" spans="1:29" x14ac:dyDescent="0.2">
      <c r="A26" s="2">
        <v>2010</v>
      </c>
      <c r="B26">
        <f t="shared" si="6"/>
        <v>66150.746121965727</v>
      </c>
      <c r="F26">
        <v>0</v>
      </c>
      <c r="G26">
        <v>1</v>
      </c>
      <c r="I26">
        <v>183.4</v>
      </c>
      <c r="J26" s="9"/>
      <c r="Q26">
        <f t="shared" si="7"/>
        <v>183.4</v>
      </c>
      <c r="R26">
        <f t="shared" si="9"/>
        <v>925.38491974420936</v>
      </c>
      <c r="S26">
        <f t="shared" si="8"/>
        <v>66150.746121965727</v>
      </c>
      <c r="U26">
        <v>19176.599999999999</v>
      </c>
      <c r="W26">
        <f t="shared" si="3"/>
        <v>0.28989242184272657</v>
      </c>
      <c r="Y26">
        <f>'Rail.Cap'!F26</f>
        <v>6373</v>
      </c>
      <c r="AA26">
        <f t="shared" si="4"/>
        <v>10.379844048637334</v>
      </c>
      <c r="AC26">
        <f t="shared" si="5"/>
        <v>0</v>
      </c>
    </row>
    <row r="27" spans="1:29" x14ac:dyDescent="0.2">
      <c r="A27" s="2">
        <v>2011</v>
      </c>
      <c r="B27">
        <f t="shared" si="6"/>
        <v>65934.33146725918</v>
      </c>
      <c r="F27">
        <v>0</v>
      </c>
      <c r="G27">
        <v>1</v>
      </c>
      <c r="I27">
        <v>182.8</v>
      </c>
      <c r="J27" s="9"/>
      <c r="Q27">
        <f t="shared" si="7"/>
        <v>182.8</v>
      </c>
      <c r="R27">
        <f t="shared" si="9"/>
        <v>922.35748816380305</v>
      </c>
      <c r="S27">
        <f t="shared" si="8"/>
        <v>65934.33146725918</v>
      </c>
      <c r="U27">
        <v>19471.400000000001</v>
      </c>
      <c r="W27">
        <f t="shared" si="3"/>
        <v>0.29531504402480913</v>
      </c>
      <c r="Y27">
        <f>'Rail.Cap'!F27</f>
        <v>6447</v>
      </c>
      <c r="AA27">
        <f t="shared" si="4"/>
        <v>10.227133778076498</v>
      </c>
      <c r="AC27">
        <f t="shared" si="5"/>
        <v>0</v>
      </c>
    </row>
    <row r="28" spans="1:29" x14ac:dyDescent="0.2">
      <c r="A28" s="2">
        <v>2012</v>
      </c>
      <c r="B28">
        <f t="shared" si="6"/>
        <v>66799.990086085338</v>
      </c>
      <c r="F28">
        <v>0</v>
      </c>
      <c r="G28">
        <v>1</v>
      </c>
      <c r="I28">
        <v>185.2</v>
      </c>
      <c r="J28" s="9"/>
      <c r="Q28">
        <f t="shared" si="7"/>
        <v>185.2</v>
      </c>
      <c r="R28">
        <f t="shared" si="9"/>
        <v>934.46721448542837</v>
      </c>
      <c r="S28">
        <f t="shared" si="8"/>
        <v>66799.990086085338</v>
      </c>
      <c r="U28">
        <v>19262.400000000001</v>
      </c>
      <c r="W28">
        <f t="shared" si="3"/>
        <v>0.28835932423307986</v>
      </c>
      <c r="Y28">
        <f>'Rail.Cap'!F28</f>
        <v>6521</v>
      </c>
      <c r="AA28">
        <f t="shared" si="4"/>
        <v>10.243826113492615</v>
      </c>
      <c r="AC28">
        <f t="shared" si="5"/>
        <v>0</v>
      </c>
    </row>
    <row r="29" spans="1:29" x14ac:dyDescent="0.2">
      <c r="A29" s="2">
        <v>2013</v>
      </c>
      <c r="B29">
        <f t="shared" si="6"/>
        <v>67737.786923147025</v>
      </c>
      <c r="F29">
        <v>0</v>
      </c>
      <c r="G29">
        <v>1</v>
      </c>
      <c r="I29">
        <v>187.8</v>
      </c>
      <c r="J29" s="9"/>
      <c r="Q29">
        <f t="shared" si="7"/>
        <v>187.8</v>
      </c>
      <c r="R29">
        <f t="shared" si="9"/>
        <v>947.58608466718931</v>
      </c>
      <c r="S29">
        <f t="shared" si="8"/>
        <v>67737.786923147025</v>
      </c>
      <c r="U29">
        <v>19447.2</v>
      </c>
      <c r="W29">
        <f t="shared" si="3"/>
        <v>0.2870952961906495</v>
      </c>
      <c r="Y29">
        <f>'Rail.Cap'!F29</f>
        <v>6595</v>
      </c>
      <c r="AA29">
        <f t="shared" si="4"/>
        <v>10.27108217181911</v>
      </c>
      <c r="AC29">
        <f t="shared" si="5"/>
        <v>0</v>
      </c>
    </row>
    <row r="30" spans="1:29" x14ac:dyDescent="0.2">
      <c r="A30" s="2">
        <v>2014</v>
      </c>
      <c r="B30">
        <f t="shared" si="6"/>
        <v>69180.551287857292</v>
      </c>
      <c r="F30">
        <v>0</v>
      </c>
      <c r="G30">
        <v>1</v>
      </c>
      <c r="I30">
        <v>191.8</v>
      </c>
      <c r="J30" s="9"/>
      <c r="Q30">
        <f t="shared" si="7"/>
        <v>191.8</v>
      </c>
      <c r="R30">
        <f t="shared" si="9"/>
        <v>967.76896186989836</v>
      </c>
      <c r="S30">
        <f t="shared" si="8"/>
        <v>69180.551287857292</v>
      </c>
      <c r="U30">
        <v>20010.2</v>
      </c>
      <c r="W30">
        <f t="shared" si="3"/>
        <v>0.28924603269983234</v>
      </c>
      <c r="Y30">
        <f>'Rail.Cap'!F30</f>
        <v>6669</v>
      </c>
      <c r="AA30">
        <f t="shared" si="4"/>
        <v>10.37345198498385</v>
      </c>
      <c r="AC30">
        <f t="shared" si="5"/>
        <v>0</v>
      </c>
    </row>
    <row r="31" spans="1:29" x14ac:dyDescent="0.2">
      <c r="A31" s="2">
        <v>2015</v>
      </c>
      <c r="B31">
        <f t="shared" si="6"/>
        <v>70010.140797565691</v>
      </c>
      <c r="F31">
        <v>0</v>
      </c>
      <c r="G31">
        <v>1</v>
      </c>
      <c r="I31">
        <v>194.1</v>
      </c>
      <c r="J31" s="9"/>
      <c r="Q31">
        <f t="shared" si="7"/>
        <v>194.1</v>
      </c>
      <c r="R31">
        <f t="shared" si="9"/>
        <v>979.37411626145592</v>
      </c>
      <c r="S31">
        <f t="shared" si="8"/>
        <v>70010.140797565691</v>
      </c>
      <c r="U31">
        <v>20389.3</v>
      </c>
      <c r="W31">
        <f t="shared" si="3"/>
        <v>0.29123352371131001</v>
      </c>
      <c r="Y31">
        <f>'Rail.Cap'!F31</f>
        <v>6743</v>
      </c>
      <c r="AA31">
        <f t="shared" si="4"/>
        <v>10.382639892861588</v>
      </c>
      <c r="AC31">
        <f t="shared" si="5"/>
        <v>0</v>
      </c>
    </row>
    <row r="32" spans="1:29" x14ac:dyDescent="0.2">
      <c r="A32" s="2">
        <v>2016</v>
      </c>
      <c r="B32">
        <f t="shared" si="6"/>
        <v>71885.734471689037</v>
      </c>
      <c r="F32">
        <v>0</v>
      </c>
      <c r="G32">
        <v>1</v>
      </c>
      <c r="I32">
        <v>199.3</v>
      </c>
      <c r="J32" s="9"/>
      <c r="Q32">
        <f t="shared" si="7"/>
        <v>199.3</v>
      </c>
      <c r="R32">
        <f t="shared" si="9"/>
        <v>1005.6118566249778</v>
      </c>
      <c r="S32">
        <f t="shared" si="8"/>
        <v>71885.734471689037</v>
      </c>
      <c r="U32">
        <v>20812</v>
      </c>
      <c r="W32">
        <f t="shared" si="3"/>
        <v>0.28951502204093704</v>
      </c>
      <c r="Y32">
        <f>'Rail.Cap'!F32</f>
        <v>6893.8</v>
      </c>
      <c r="AA32">
        <f t="shared" si="4"/>
        <v>10.427592107645861</v>
      </c>
      <c r="AC32">
        <f t="shared" si="5"/>
        <v>0</v>
      </c>
    </row>
    <row r="33" spans="1:29" x14ac:dyDescent="0.2">
      <c r="A33" s="2">
        <v>2017</v>
      </c>
      <c r="B33">
        <f t="shared" si="6"/>
        <v>71272.559616687169</v>
      </c>
      <c r="F33">
        <v>0</v>
      </c>
      <c r="G33">
        <v>1</v>
      </c>
      <c r="I33">
        <v>197.6</v>
      </c>
      <c r="J33" s="9"/>
      <c r="Q33">
        <f t="shared" si="7"/>
        <v>197.6</v>
      </c>
      <c r="R33">
        <f t="shared" si="9"/>
        <v>997.03413381382643</v>
      </c>
      <c r="S33">
        <f t="shared" si="8"/>
        <v>71272.559616687169</v>
      </c>
      <c r="U33">
        <v>20864.5</v>
      </c>
      <c r="W33">
        <f t="shared" si="3"/>
        <v>0.29274239780656003</v>
      </c>
      <c r="Y33">
        <f>'Rail.Cap'!F33</f>
        <v>7044.6</v>
      </c>
      <c r="AA33">
        <f t="shared" si="4"/>
        <v>10.117332370423751</v>
      </c>
      <c r="AC33">
        <f t="shared" si="5"/>
        <v>0</v>
      </c>
    </row>
    <row r="34" spans="1:29" x14ac:dyDescent="0.2">
      <c r="A34" s="2">
        <v>2018</v>
      </c>
      <c r="B34">
        <f t="shared" si="6"/>
        <v>71344.697834922685</v>
      </c>
      <c r="F34">
        <v>0</v>
      </c>
      <c r="G34">
        <v>1</v>
      </c>
      <c r="I34">
        <v>197.8</v>
      </c>
      <c r="J34" s="9"/>
      <c r="Q34">
        <f t="shared" si="7"/>
        <v>197.8</v>
      </c>
      <c r="R34">
        <f t="shared" si="9"/>
        <v>998.04327767396194</v>
      </c>
      <c r="S34">
        <f t="shared" si="8"/>
        <v>71344.697834922685</v>
      </c>
      <c r="U34">
        <v>20613</v>
      </c>
      <c r="W34">
        <f t="shared" si="3"/>
        <v>0.28892126010112684</v>
      </c>
      <c r="Y34">
        <f>'Rail.Cap'!F34</f>
        <v>7195.4000000000005</v>
      </c>
      <c r="AA34">
        <f t="shared" si="4"/>
        <v>9.9153205985661224</v>
      </c>
      <c r="AC34">
        <f t="shared" si="5"/>
        <v>0</v>
      </c>
    </row>
    <row r="35" spans="1:29" x14ac:dyDescent="0.2">
      <c r="A35" s="2">
        <v>2019</v>
      </c>
      <c r="B35">
        <f t="shared" si="6"/>
        <v>72498.909326690889</v>
      </c>
      <c r="F35">
        <v>0</v>
      </c>
      <c r="G35">
        <v>1</v>
      </c>
      <c r="I35">
        <v>201</v>
      </c>
      <c r="J35" s="9"/>
      <c r="Q35">
        <f t="shared" si="7"/>
        <v>201</v>
      </c>
      <c r="R35">
        <f t="shared" si="9"/>
        <v>1014.1895794361291</v>
      </c>
      <c r="S35">
        <f t="shared" si="8"/>
        <v>72498.909326690889</v>
      </c>
      <c r="U35">
        <v>21737</v>
      </c>
      <c r="W35">
        <f t="shared" si="3"/>
        <v>0.29982520015645808</v>
      </c>
      <c r="Y35">
        <f>'Rail.Cap'!F35</f>
        <v>7346.2000000000007</v>
      </c>
      <c r="AA35">
        <f t="shared" si="4"/>
        <v>9.8688994754690693</v>
      </c>
      <c r="AC35">
        <f t="shared" si="5"/>
        <v>0</v>
      </c>
    </row>
    <row r="36" spans="1:29" x14ac:dyDescent="0.2">
      <c r="A36" s="2">
        <v>2020</v>
      </c>
      <c r="B36">
        <f t="shared" si="6"/>
        <v>70334.762779625496</v>
      </c>
      <c r="F36">
        <v>0</v>
      </c>
      <c r="G36">
        <v>1</v>
      </c>
      <c r="I36">
        <v>195</v>
      </c>
      <c r="J36" s="9"/>
      <c r="Q36">
        <f t="shared" si="7"/>
        <v>195</v>
      </c>
      <c r="R36">
        <f t="shared" si="9"/>
        <v>983.91526363206549</v>
      </c>
      <c r="S36">
        <f t="shared" si="8"/>
        <v>70334.762779625496</v>
      </c>
      <c r="U36">
        <v>13334</v>
      </c>
      <c r="W36">
        <f t="shared" si="3"/>
        <v>0.18957908540586677</v>
      </c>
      <c r="Y36">
        <f>'Rail.Cap'!F36</f>
        <v>7497</v>
      </c>
      <c r="AA36">
        <f t="shared" si="4"/>
        <v>9.3817210590403484</v>
      </c>
      <c r="AC36">
        <f t="shared" si="5"/>
        <v>0</v>
      </c>
    </row>
    <row r="37" spans="1:29" x14ac:dyDescent="0.2">
      <c r="A37" s="2">
        <v>2021</v>
      </c>
      <c r="B37">
        <f t="shared" si="6"/>
        <v>73941.673691401156</v>
      </c>
      <c r="F37">
        <v>0</v>
      </c>
      <c r="G37">
        <v>1</v>
      </c>
      <c r="I37">
        <v>205</v>
      </c>
      <c r="J37" s="9"/>
      <c r="Q37">
        <f t="shared" si="7"/>
        <v>205</v>
      </c>
      <c r="R37">
        <f t="shared" si="9"/>
        <v>1034.3724566388382</v>
      </c>
      <c r="S37">
        <f t="shared" si="8"/>
        <v>73941.673691401156</v>
      </c>
      <c r="U37">
        <v>14308</v>
      </c>
      <c r="W37">
        <f t="shared" si="3"/>
        <v>0.19350386981656745</v>
      </c>
      <c r="Y37">
        <f>'Rail.Cap'!F37</f>
        <v>0</v>
      </c>
      <c r="AC37">
        <f t="shared" si="5"/>
        <v>0</v>
      </c>
    </row>
    <row r="38" spans="1:29" x14ac:dyDescent="0.2">
      <c r="A38" s="2">
        <v>2022</v>
      </c>
      <c r="Y38">
        <f>'Rail.Cap'!F38</f>
        <v>0</v>
      </c>
    </row>
    <row r="39" spans="1:29" x14ac:dyDescent="0.2">
      <c r="A39" s="4"/>
    </row>
    <row r="40" spans="1:29" x14ac:dyDescent="0.2">
      <c r="A40" s="2" t="s">
        <v>40</v>
      </c>
      <c r="M40">
        <f>AVERAGE(M6:M37)</f>
        <v>5.0457193006772592</v>
      </c>
      <c r="N40">
        <f>AVERAGE(N6:N37)</f>
        <v>360.69109117756665</v>
      </c>
      <c r="O40">
        <f>N40/M40</f>
        <v>71.48457329545721</v>
      </c>
      <c r="Q40">
        <f>AVERAGE(Q6:Q37)</f>
        <v>163.97103125000004</v>
      </c>
      <c r="R40">
        <f>AVERAGE(R6:R37)</f>
        <v>826.81907209165615</v>
      </c>
      <c r="S40">
        <f>AVERAGE(S6:S37)</f>
        <v>59141.170222927096</v>
      </c>
      <c r="W40">
        <f>AVERAGE(W6:W37)</f>
        <v>0.27015661650806694</v>
      </c>
      <c r="AA40">
        <f>AVERAGE(AA6:AA37)</f>
        <v>9.7536356046383688</v>
      </c>
    </row>
    <row r="42" spans="1:29" x14ac:dyDescent="0.2">
      <c r="A42" s="2" t="s">
        <v>85</v>
      </c>
      <c r="M42">
        <f>_xlfn.VAR.S(M6:M37)</f>
        <v>0.26892325600742878</v>
      </c>
      <c r="N42">
        <f>_xlfn.VAR.S(N6:N37)</f>
        <v>43.729067090779509</v>
      </c>
      <c r="Q42">
        <f>_xlfn.VAR.S(Q6:Q37)</f>
        <v>701.39853112801018</v>
      </c>
      <c r="R42">
        <f>_xlfn.VAR.S(R6:R37)</f>
        <v>18896.051774927324</v>
      </c>
      <c r="S42">
        <f>_xlfn.VAR.S(S6:S37)</f>
        <v>91244358.627489641</v>
      </c>
      <c r="W42">
        <f>_xlfn.VAR.S(W6:W37)</f>
        <v>6.9143893827600198E-4</v>
      </c>
      <c r="AA42">
        <f>_xlfn.VAR.S(AA6:AA37)</f>
        <v>0.20852277962601537</v>
      </c>
    </row>
    <row r="43" spans="1:29" x14ac:dyDescent="0.2">
      <c r="A43" s="2" t="s">
        <v>86</v>
      </c>
      <c r="M43">
        <f>STDEV(M6:M37)</f>
        <v>0.51857810984212283</v>
      </c>
      <c r="N43">
        <f>STDEV(N6:N37)</f>
        <v>6.6127957091369085</v>
      </c>
      <c r="Q43">
        <f>STDEV(Q6:Q37)</f>
        <v>26.483929676843847</v>
      </c>
      <c r="R43">
        <f>STDEV(R6:R37)</f>
        <v>137.46291054290725</v>
      </c>
      <c r="S43">
        <f>STDEV(S6:S37)</f>
        <v>9552.191299774604</v>
      </c>
      <c r="W43">
        <f>STDEV(W6:W37)</f>
        <v>2.6295226530227915E-2</v>
      </c>
      <c r="AA43">
        <f>STDEV(AA6:AA37)</f>
        <v>0.45664294544645639</v>
      </c>
    </row>
    <row r="44" spans="1:29" x14ac:dyDescent="0.2">
      <c r="A44" s="2" t="s">
        <v>95</v>
      </c>
      <c r="I44" t="s">
        <v>50</v>
      </c>
      <c r="M44">
        <f>M43/M40</f>
        <v>0.10277585393474364</v>
      </c>
      <c r="N44">
        <f>N43/N40</f>
        <v>1.8333681842675337E-2</v>
      </c>
      <c r="P44" t="s">
        <v>35</v>
      </c>
      <c r="Q44">
        <f>Q43/Q40</f>
        <v>0.16151590604114005</v>
      </c>
      <c r="R44">
        <f>R43/R40</f>
        <v>0.16625512785422172</v>
      </c>
      <c r="S44">
        <f>S43/S40</f>
        <v>0.16151508777673007</v>
      </c>
      <c r="W44">
        <f>W43/W40</f>
        <v>9.7333268642867884E-2</v>
      </c>
      <c r="AA44">
        <f>AA43/AA40</f>
        <v>4.6817716383550208E-2</v>
      </c>
    </row>
    <row r="45" spans="1:29" x14ac:dyDescent="0.2">
      <c r="A45" s="2" t="s">
        <v>96</v>
      </c>
      <c r="M45">
        <f>AVEDEV(M6:M38)</f>
        <v>0.48638958842188623</v>
      </c>
      <c r="N45">
        <f>AVEDEV(N6:N38)</f>
        <v>5.2574339881813712</v>
      </c>
      <c r="Q45">
        <f>AVEDEV(Q6:Q38)</f>
        <v>24.016468749999994</v>
      </c>
      <c r="R45">
        <f>AVEDEV(R6:R38)</f>
        <v>121.71308494441001</v>
      </c>
      <c r="S45">
        <f>AVEDEV(S6:S38)</f>
        <v>8664.2462798157358</v>
      </c>
      <c r="W45">
        <f>AVEDEV(W6:W38)</f>
        <v>1.9681059229266478E-2</v>
      </c>
      <c r="AA45">
        <f>AVEDEV(AA6:AA38)</f>
        <v>0.42408813197573464</v>
      </c>
    </row>
    <row r="46" spans="1:29" x14ac:dyDescent="0.2">
      <c r="A46" s="2" t="s">
        <v>97</v>
      </c>
      <c r="M46">
        <f>M45/M40</f>
        <v>9.6396481737817008E-2</v>
      </c>
      <c r="N46">
        <f>N45/N40</f>
        <v>1.4576001783180055E-2</v>
      </c>
      <c r="Q46">
        <f>Q45/Q40</f>
        <v>0.14646775449855559</v>
      </c>
      <c r="R46">
        <f>R45/R40</f>
        <v>0.14720643131332806</v>
      </c>
      <c r="S46">
        <f>S45/S40</f>
        <v>0.14650109639624431</v>
      </c>
      <c r="W46">
        <f>W45/W40</f>
        <v>7.2850554184664199E-2</v>
      </c>
      <c r="AA46">
        <f>AA45/AA40</f>
        <v>4.3480005729766895E-2</v>
      </c>
    </row>
    <row r="48" spans="1:29" x14ac:dyDescent="0.2">
      <c r="A48" s="2" t="s">
        <v>6</v>
      </c>
      <c r="L48" s="18"/>
      <c r="Q48" s="70" t="s">
        <v>50</v>
      </c>
      <c r="R48" s="70"/>
      <c r="S48" s="70"/>
    </row>
    <row r="49" spans="1:19" x14ac:dyDescent="0.2">
      <c r="A49" s="2" t="s">
        <v>7</v>
      </c>
      <c r="L49" s="18"/>
      <c r="Q49" s="70" t="s">
        <v>44</v>
      </c>
      <c r="R49" s="70"/>
      <c r="S49" s="70"/>
    </row>
  </sheetData>
  <mergeCells count="15">
    <mergeCell ref="I1:AA1"/>
    <mergeCell ref="M2:N2"/>
    <mergeCell ref="M4:N4"/>
    <mergeCell ref="M3:N3"/>
    <mergeCell ref="F4:G4"/>
    <mergeCell ref="F3:G3"/>
    <mergeCell ref="I2:K2"/>
    <mergeCell ref="Q2:S2"/>
    <mergeCell ref="F1:G1"/>
    <mergeCell ref="Q48:S48"/>
    <mergeCell ref="Q49:S49"/>
    <mergeCell ref="I4:K4"/>
    <mergeCell ref="I3:K3"/>
    <mergeCell ref="Q3:S3"/>
    <mergeCell ref="Q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Datasets</vt:lpstr>
      <vt:lpstr>Demand</vt:lpstr>
      <vt:lpstr>PrivateCars.Cap</vt:lpstr>
      <vt:lpstr>PrivateCars.Act</vt:lpstr>
      <vt:lpstr>PrivateCars.Cost</vt:lpstr>
      <vt:lpstr>PrivateCars.IO</vt:lpstr>
      <vt:lpstr>PrivateCars.Cap.Omit</vt:lpstr>
      <vt:lpstr>Rail.Cap</vt:lpstr>
      <vt:lpstr>Rail.Act</vt:lpstr>
      <vt:lpstr>Rail.Cost</vt:lpstr>
      <vt:lpstr>Rail.IO</vt:lpstr>
      <vt:lpstr>MRT.Cap</vt:lpstr>
      <vt:lpstr>MRT.Act</vt:lpstr>
      <vt:lpstr>MRT.Cost</vt:lpstr>
      <vt:lpstr>MRT.IO</vt:lpstr>
      <vt:lpstr>Bus.Cap</vt:lpstr>
      <vt:lpstr>Bus.Act</vt:lpstr>
      <vt:lpstr>Bus.Cost</vt:lpstr>
      <vt:lpstr>Bus.IO</vt:lpstr>
      <vt:lpstr>2W.Cap</vt:lpstr>
      <vt:lpstr>2W.Act</vt:lpstr>
      <vt:lpstr>2W.Cost</vt:lpstr>
      <vt:lpstr>2W.IO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2023-03-29T10:31:32Z</dcterms:created>
  <dcterms:modified xsi:type="dcterms:W3CDTF">2023-04-26T15:34:32Z</dcterms:modified>
</cp:coreProperties>
</file>