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anahuac-my.sharepoint.com/personal/itzel_roa_anahuac_mx/Documents/Actuaría/9no semestre/Practicum II/factor_analysis_investment/"/>
    </mc:Choice>
  </mc:AlternateContent>
  <xr:revisionPtr revIDLastSave="0" documentId="8_{12A049C1-9FB4-4395-8770-0D4C10CBCA20}" xr6:coauthVersionLast="47" xr6:coauthVersionMax="47" xr10:uidLastSave="{00000000-0000-0000-0000-000000000000}"/>
  <bookViews>
    <workbookView xWindow="-28920" yWindow="-120" windowWidth="29040" windowHeight="15720" activeTab="3" xr2:uid="{9660240B-9485-45B1-AB1E-5F81C413011A}"/>
  </bookViews>
  <sheets>
    <sheet name="Empresas" sheetId="3" r:id="rId1"/>
    <sheet name="Ratios" sheetId="6" r:id="rId2"/>
    <sheet name="Base de Datos" sheetId="7" r:id="rId3"/>
    <sheet name="PCA" sheetId="9" r:id="rId4"/>
    <sheet name="Índices (Orden)" sheetId="10" r:id="rId5"/>
    <sheet name="Índice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1" l="1" a="1"/>
  <c r="B4" i="11" s="1"/>
  <c r="E4" i="11" l="1" a="1"/>
  <c r="E4" i="11" s="1"/>
  <c r="E5" i="11" a="1"/>
  <c r="E5" i="11" s="1"/>
  <c r="E6" i="11" a="1"/>
  <c r="E6" i="11" s="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17" i="11" a="1"/>
  <c r="E17" i="11" s="1"/>
  <c r="E18" i="11" a="1"/>
  <c r="E18" i="11" s="1"/>
  <c r="E19" i="11" a="1"/>
  <c r="E19" i="11" s="1"/>
  <c r="E20" i="11" a="1"/>
  <c r="E20" i="11" s="1"/>
  <c r="E21" i="11" a="1"/>
  <c r="E21" i="11" s="1"/>
  <c r="E22" i="11" a="1"/>
  <c r="E22" i="11" s="1"/>
  <c r="E23" i="11" a="1"/>
  <c r="E23" i="11" s="1"/>
  <c r="E24" i="11" a="1"/>
  <c r="E24" i="11" s="1"/>
  <c r="E25" i="11" a="1"/>
  <c r="E25" i="11" s="1"/>
  <c r="E26" i="11" a="1"/>
  <c r="E26" i="11" s="1"/>
  <c r="E27" i="11" a="1"/>
  <c r="E27" i="11" s="1"/>
  <c r="E28" i="11" a="1"/>
  <c r="E28" i="11" s="1"/>
  <c r="E29" i="11" a="1"/>
  <c r="E29" i="11" s="1"/>
  <c r="E30" i="11" a="1"/>
  <c r="E30" i="11" s="1"/>
  <c r="E31" i="11" a="1"/>
  <c r="E31" i="11" s="1"/>
  <c r="E32" i="11" a="1"/>
  <c r="E32" i="11" s="1"/>
  <c r="E33" i="11" a="1"/>
  <c r="E33" i="11" s="1"/>
  <c r="E34" i="11" a="1"/>
  <c r="E34" i="11" s="1"/>
  <c r="E35" i="11" a="1"/>
  <c r="E35" i="11" s="1"/>
  <c r="E36" i="11" a="1"/>
  <c r="E36" i="11" s="1"/>
  <c r="E37" i="11" a="1"/>
  <c r="E37" i="11" s="1"/>
  <c r="E38" i="11" a="1"/>
  <c r="E38" i="11" s="1"/>
  <c r="E39" i="11" a="1"/>
  <c r="E39" i="11" s="1"/>
  <c r="E40" i="11" a="1"/>
  <c r="E40" i="11" s="1"/>
  <c r="E41" i="11" a="1"/>
  <c r="E41" i="11"/>
  <c r="E42" i="11" a="1"/>
  <c r="E42" i="11" s="1"/>
  <c r="E43" i="11" a="1"/>
  <c r="E43" i="11" s="1"/>
  <c r="E44" i="11" a="1"/>
  <c r="E44" i="11" s="1"/>
  <c r="E45" i="11" a="1"/>
  <c r="E45" i="11" s="1"/>
  <c r="E46" i="11" a="1"/>
  <c r="E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56" i="11" a="1"/>
  <c r="E56" i="11" s="1"/>
  <c r="E57" i="11" a="1"/>
  <c r="E57" i="11" s="1"/>
  <c r="E58" i="11" a="1"/>
  <c r="E58" i="11" s="1"/>
  <c r="E59" i="11" a="1"/>
  <c r="E59" i="11" s="1"/>
  <c r="E60" i="11" a="1"/>
  <c r="E60" i="11" s="1"/>
  <c r="E61" i="11" a="1"/>
  <c r="E61" i="11" s="1"/>
  <c r="E62" i="11" a="1"/>
  <c r="E62" i="11" s="1"/>
  <c r="E63" i="11" a="1"/>
  <c r="E63" i="11" s="1"/>
  <c r="E64" i="11" a="1"/>
  <c r="E64" i="11" s="1"/>
  <c r="E65" i="11" a="1"/>
  <c r="E65" i="11" s="1"/>
  <c r="E66" i="11" a="1"/>
  <c r="E66" i="11" s="1"/>
  <c r="E67" i="11" a="1"/>
  <c r="E67" i="11" s="1"/>
  <c r="E68" i="11" a="1"/>
  <c r="E68" i="11" s="1"/>
  <c r="E69" i="11" a="1"/>
  <c r="E69" i="11" s="1"/>
  <c r="E70" i="11" a="1"/>
  <c r="E70" i="11" s="1"/>
  <c r="E71" i="11" a="1"/>
  <c r="E71" i="11" s="1"/>
  <c r="E72" i="11" a="1"/>
  <c r="E72" i="11" s="1"/>
  <c r="E73" i="11" a="1"/>
  <c r="E73" i="11" s="1"/>
  <c r="E74" i="11" a="1"/>
  <c r="E74" i="11" s="1"/>
  <c r="E75" i="11" a="1"/>
  <c r="E75" i="11" s="1"/>
  <c r="E76" i="11" a="1"/>
  <c r="E76" i="11" s="1"/>
  <c r="E77" i="11" a="1"/>
  <c r="E77" i="11" s="1"/>
  <c r="E78" i="11" a="1"/>
  <c r="E78" i="11" s="1"/>
  <c r="E79" i="11" a="1"/>
  <c r="E79" i="11" s="1"/>
  <c r="E80" i="11" a="1"/>
  <c r="E80" i="11" s="1"/>
  <c r="E81" i="11" a="1"/>
  <c r="E81" i="11" s="1"/>
  <c r="E82" i="11" a="1"/>
  <c r="E82" i="11" s="1"/>
  <c r="E83" i="11" a="1"/>
  <c r="E83" i="11" s="1"/>
  <c r="E84" i="11" a="1"/>
  <c r="E84" i="11" s="1"/>
  <c r="E85" i="11" a="1"/>
  <c r="E85" i="11" s="1"/>
  <c r="E86" i="11" a="1"/>
  <c r="E86" i="11" s="1"/>
  <c r="E87" i="11" a="1"/>
  <c r="E87" i="11" s="1"/>
  <c r="E88" i="11" a="1"/>
  <c r="E88" i="11" s="1"/>
  <c r="E89" i="11" a="1"/>
  <c r="E89" i="11" s="1"/>
  <c r="E90" i="11" a="1"/>
  <c r="E90" i="11" s="1"/>
  <c r="E91" i="11" a="1"/>
  <c r="E91" i="11" s="1"/>
  <c r="E92" i="11" a="1"/>
  <c r="E92" i="11" s="1"/>
  <c r="E93" i="11" a="1"/>
  <c r="E93" i="11" s="1"/>
  <c r="E94" i="11" a="1"/>
  <c r="E94" i="11" s="1"/>
  <c r="E95" i="11" a="1"/>
  <c r="E95" i="11" s="1"/>
  <c r="E96" i="11" a="1"/>
  <c r="E96" i="11" s="1"/>
  <c r="E97" i="11" a="1"/>
  <c r="E97" i="11" s="1"/>
  <c r="E98" i="11" a="1"/>
  <c r="E98" i="11" s="1"/>
  <c r="E99" i="11" a="1"/>
  <c r="E99" i="11" s="1"/>
  <c r="E100" i="11" a="1"/>
  <c r="E100" i="11" s="1"/>
  <c r="E101" i="11" a="1"/>
  <c r="E101" i="11" s="1"/>
  <c r="E102" i="11" a="1"/>
  <c r="E102" i="11" s="1"/>
  <c r="E103" i="11" a="1"/>
  <c r="E103" i="11" s="1"/>
  <c r="E104" i="11" a="1"/>
  <c r="E104" i="11" s="1"/>
  <c r="E105" i="11" a="1"/>
  <c r="E105" i="11" s="1"/>
  <c r="E106" i="11" a="1"/>
  <c r="E106" i="11" s="1"/>
  <c r="E107" i="11" a="1"/>
  <c r="E107" i="11" s="1"/>
  <c r="E108" i="11" a="1"/>
  <c r="E108" i="11" s="1"/>
  <c r="E109" i="11" a="1"/>
  <c r="E109" i="11" s="1"/>
  <c r="E110" i="11" a="1"/>
  <c r="E110" i="11" s="1"/>
  <c r="E111" i="11" a="1"/>
  <c r="E111" i="11" s="1"/>
  <c r="E112" i="11" a="1"/>
  <c r="E112" i="11" s="1"/>
  <c r="E113" i="11" a="1"/>
  <c r="E113" i="11" s="1"/>
  <c r="E114" i="11" a="1"/>
  <c r="E114" i="11" s="1"/>
  <c r="E115" i="11" a="1"/>
  <c r="E115" i="11" s="1"/>
  <c r="E116" i="11" a="1"/>
  <c r="E116" i="11" s="1"/>
  <c r="E117" i="11" a="1"/>
  <c r="E117" i="11" s="1"/>
  <c r="E118" i="11" a="1"/>
  <c r="E118" i="11" s="1"/>
  <c r="E119" i="11" a="1"/>
  <c r="E119" i="11" s="1"/>
  <c r="E120" i="11" a="1"/>
  <c r="E120" i="11" s="1"/>
  <c r="E121" i="11" a="1"/>
  <c r="E121" i="11" s="1"/>
  <c r="E122" i="11" a="1"/>
  <c r="E122" i="11" s="1"/>
  <c r="E123" i="11" a="1"/>
  <c r="E123" i="11" s="1"/>
  <c r="B40" i="11" a="1"/>
  <c r="B40" i="11" s="1"/>
  <c r="C5" i="11" a="1"/>
  <c r="C5" i="11" s="1"/>
  <c r="D5" i="11" a="1"/>
  <c r="D5" i="11" s="1"/>
  <c r="F5" i="11" a="1"/>
  <c r="F5" i="11" s="1"/>
  <c r="G5" i="11" a="1"/>
  <c r="G5" i="11" s="1"/>
  <c r="C6" i="11" a="1"/>
  <c r="C6" i="11" s="1"/>
  <c r="D6" i="11" a="1"/>
  <c r="D6" i="11" s="1"/>
  <c r="F6" i="11" a="1"/>
  <c r="F6" i="11" s="1"/>
  <c r="G6" i="11" a="1"/>
  <c r="G6" i="11" s="1"/>
  <c r="C7" i="11" a="1"/>
  <c r="C7" i="11" s="1"/>
  <c r="D7" i="11" a="1"/>
  <c r="D7" i="11" s="1"/>
  <c r="F7" i="11" a="1"/>
  <c r="F7" i="11" s="1"/>
  <c r="G7" i="11" a="1"/>
  <c r="G7" i="11" s="1"/>
  <c r="C8" i="11" a="1"/>
  <c r="C8" i="11" s="1"/>
  <c r="D8" i="11" a="1"/>
  <c r="D8" i="11" s="1"/>
  <c r="F8" i="11" a="1"/>
  <c r="F8" i="11" s="1"/>
  <c r="G8" i="11" a="1"/>
  <c r="G8" i="11" s="1"/>
  <c r="C9" i="11" a="1"/>
  <c r="C9" i="11" s="1"/>
  <c r="D9" i="11" a="1"/>
  <c r="D9" i="11" s="1"/>
  <c r="F9" i="11" a="1"/>
  <c r="F9" i="11" s="1"/>
  <c r="G9" i="11" a="1"/>
  <c r="G9" i="11" s="1"/>
  <c r="C10" i="11" a="1"/>
  <c r="C10" i="11" s="1"/>
  <c r="D10" i="11" a="1"/>
  <c r="D10" i="11" s="1"/>
  <c r="F10" i="11" a="1"/>
  <c r="F10" i="11" s="1"/>
  <c r="G10" i="11" a="1"/>
  <c r="G10" i="11" s="1"/>
  <c r="C11" i="11" a="1"/>
  <c r="C11" i="11" s="1"/>
  <c r="D11" i="11" a="1"/>
  <c r="D11" i="11" s="1"/>
  <c r="F11" i="11" a="1"/>
  <c r="F11" i="11" s="1"/>
  <c r="G11" i="11" a="1"/>
  <c r="G11" i="11" s="1"/>
  <c r="C12" i="11" a="1"/>
  <c r="C12" i="11" s="1"/>
  <c r="D12" i="11" a="1"/>
  <c r="D12" i="11" s="1"/>
  <c r="F12" i="11" a="1"/>
  <c r="F12" i="11" s="1"/>
  <c r="G12" i="11" a="1"/>
  <c r="G12" i="11" s="1"/>
  <c r="C13" i="11" a="1"/>
  <c r="C13" i="11" s="1"/>
  <c r="D13" i="11" a="1"/>
  <c r="D13" i="11" s="1"/>
  <c r="F13" i="11" a="1"/>
  <c r="F13" i="11" s="1"/>
  <c r="G13" i="11" a="1"/>
  <c r="G13" i="11" s="1"/>
  <c r="C14" i="11" a="1"/>
  <c r="C14" i="11" s="1"/>
  <c r="D14" i="11" a="1"/>
  <c r="D14" i="11" s="1"/>
  <c r="F14" i="11" a="1"/>
  <c r="F14" i="11" s="1"/>
  <c r="G14" i="11" a="1"/>
  <c r="G14" i="11" s="1"/>
  <c r="C15" i="11" a="1"/>
  <c r="C15" i="11" s="1"/>
  <c r="D15" i="11" a="1"/>
  <c r="D15" i="11" s="1"/>
  <c r="F15" i="11" a="1"/>
  <c r="F15" i="11" s="1"/>
  <c r="G15" i="11" a="1"/>
  <c r="G15" i="11" s="1"/>
  <c r="C16" i="11" a="1"/>
  <c r="C16" i="11" s="1"/>
  <c r="D16" i="11" a="1"/>
  <c r="D16" i="11" s="1"/>
  <c r="F16" i="11" a="1"/>
  <c r="F16" i="11" s="1"/>
  <c r="G16" i="11" a="1"/>
  <c r="G16" i="11" s="1"/>
  <c r="C17" i="11" a="1"/>
  <c r="C17" i="11" s="1"/>
  <c r="D17" i="11" a="1"/>
  <c r="D17" i="11" s="1"/>
  <c r="F17" i="11" a="1"/>
  <c r="F17" i="11" s="1"/>
  <c r="G17" i="11" a="1"/>
  <c r="G17" i="11" s="1"/>
  <c r="C18" i="11" a="1"/>
  <c r="C18" i="11" s="1"/>
  <c r="D18" i="11" a="1"/>
  <c r="D18" i="11" s="1"/>
  <c r="F18" i="11" a="1"/>
  <c r="F18" i="11" s="1"/>
  <c r="G18" i="11" a="1"/>
  <c r="G18" i="11" s="1"/>
  <c r="C19" i="11" a="1"/>
  <c r="C19" i="11" s="1"/>
  <c r="D19" i="11" a="1"/>
  <c r="D19" i="11" s="1"/>
  <c r="F19" i="11" a="1"/>
  <c r="F19" i="11" s="1"/>
  <c r="G19" i="11" a="1"/>
  <c r="G19" i="11" s="1"/>
  <c r="C20" i="11" a="1"/>
  <c r="C20" i="11" s="1"/>
  <c r="D20" i="11" a="1"/>
  <c r="D20" i="11" s="1"/>
  <c r="F20" i="11" a="1"/>
  <c r="F20" i="11" s="1"/>
  <c r="G20" i="11" a="1"/>
  <c r="G20" i="11" s="1"/>
  <c r="C21" i="11" a="1"/>
  <c r="C21" i="11" s="1"/>
  <c r="D21" i="11" a="1"/>
  <c r="D21" i="11" s="1"/>
  <c r="F21" i="11" a="1"/>
  <c r="F21" i="11" s="1"/>
  <c r="G21" i="11" a="1"/>
  <c r="G21" i="11" s="1"/>
  <c r="C22" i="11" a="1"/>
  <c r="C22" i="11" s="1"/>
  <c r="D22" i="11" a="1"/>
  <c r="D22" i="11" s="1"/>
  <c r="F22" i="11" a="1"/>
  <c r="F22" i="11" s="1"/>
  <c r="G22" i="11" a="1"/>
  <c r="G22" i="11" s="1"/>
  <c r="C23" i="11" a="1"/>
  <c r="C23" i="11" s="1"/>
  <c r="D23" i="11" a="1"/>
  <c r="D23" i="11" s="1"/>
  <c r="F23" i="11" a="1"/>
  <c r="F23" i="11" s="1"/>
  <c r="G23" i="11" a="1"/>
  <c r="G23" i="11" s="1"/>
  <c r="C24" i="11" a="1"/>
  <c r="C24" i="11" s="1"/>
  <c r="D24" i="11" a="1"/>
  <c r="D24" i="11" s="1"/>
  <c r="F24" i="11" a="1"/>
  <c r="F24" i="11" s="1"/>
  <c r="G24" i="11" a="1"/>
  <c r="G24" i="11" s="1"/>
  <c r="C25" i="11" a="1"/>
  <c r="C25" i="11" s="1"/>
  <c r="D25" i="11" a="1"/>
  <c r="D25" i="11" s="1"/>
  <c r="F25" i="11" a="1"/>
  <c r="F25" i="11" s="1"/>
  <c r="G25" i="11" a="1"/>
  <c r="G25" i="11" s="1"/>
  <c r="C26" i="11" a="1"/>
  <c r="C26" i="11" s="1"/>
  <c r="D26" i="11" a="1"/>
  <c r="D26" i="11" s="1"/>
  <c r="F26" i="11" a="1"/>
  <c r="F26" i="11" s="1"/>
  <c r="G26" i="11" a="1"/>
  <c r="G26" i="11" s="1"/>
  <c r="C27" i="11" a="1"/>
  <c r="C27" i="11" s="1"/>
  <c r="D27" i="11" a="1"/>
  <c r="D27" i="11" s="1"/>
  <c r="F27" i="11" a="1"/>
  <c r="F27" i="11" s="1"/>
  <c r="G27" i="11" a="1"/>
  <c r="G27" i="11" s="1"/>
  <c r="C28" i="11" a="1"/>
  <c r="C28" i="11" s="1"/>
  <c r="D28" i="11" a="1"/>
  <c r="D28" i="11" s="1"/>
  <c r="F28" i="11" a="1"/>
  <c r="F28" i="11" s="1"/>
  <c r="G28" i="11" a="1"/>
  <c r="G28" i="11" s="1"/>
  <c r="C29" i="11" a="1"/>
  <c r="C29" i="11" s="1"/>
  <c r="D29" i="11" a="1"/>
  <c r="D29" i="11" s="1"/>
  <c r="F29" i="11" a="1"/>
  <c r="F29" i="11" s="1"/>
  <c r="G29" i="11" a="1"/>
  <c r="G29" i="11" s="1"/>
  <c r="C30" i="11" a="1"/>
  <c r="C30" i="11" s="1"/>
  <c r="D30" i="11" a="1"/>
  <c r="D30" i="11" s="1"/>
  <c r="F30" i="11" a="1"/>
  <c r="F30" i="11" s="1"/>
  <c r="G30" i="11" a="1"/>
  <c r="G30" i="11" s="1"/>
  <c r="C31" i="11" a="1"/>
  <c r="C31" i="11" s="1"/>
  <c r="D31" i="11" a="1"/>
  <c r="D31" i="11" s="1"/>
  <c r="F31" i="11" a="1"/>
  <c r="F31" i="11" s="1"/>
  <c r="G31" i="11" a="1"/>
  <c r="G31" i="11" s="1"/>
  <c r="C32" i="11" a="1"/>
  <c r="C32" i="11" s="1"/>
  <c r="D32" i="11" a="1"/>
  <c r="D32" i="11" s="1"/>
  <c r="F32" i="11" a="1"/>
  <c r="F32" i="11" s="1"/>
  <c r="G32" i="11" a="1"/>
  <c r="G32" i="11" s="1"/>
  <c r="C33" i="11" a="1"/>
  <c r="C33" i="11" s="1"/>
  <c r="D33" i="11" a="1"/>
  <c r="D33" i="11" s="1"/>
  <c r="F33" i="11" a="1"/>
  <c r="F33" i="11" s="1"/>
  <c r="G33" i="11" a="1"/>
  <c r="G33" i="11" s="1"/>
  <c r="C34" i="11" a="1"/>
  <c r="C34" i="11" s="1"/>
  <c r="D34" i="11" a="1"/>
  <c r="D34" i="11" s="1"/>
  <c r="F34" i="11" a="1"/>
  <c r="F34" i="11" s="1"/>
  <c r="G34" i="11" a="1"/>
  <c r="G34" i="11" s="1"/>
  <c r="C35" i="11" a="1"/>
  <c r="C35" i="11" s="1"/>
  <c r="D35" i="11" a="1"/>
  <c r="D35" i="11" s="1"/>
  <c r="F35" i="11" a="1"/>
  <c r="F35" i="11" s="1"/>
  <c r="G35" i="11" a="1"/>
  <c r="G35" i="11" s="1"/>
  <c r="C36" i="11" a="1"/>
  <c r="C36" i="11" s="1"/>
  <c r="D36" i="11" a="1"/>
  <c r="D36" i="11" s="1"/>
  <c r="F36" i="11" a="1"/>
  <c r="F36" i="11" s="1"/>
  <c r="G36" i="11" a="1"/>
  <c r="G36" i="11" s="1"/>
  <c r="C37" i="11" a="1"/>
  <c r="C37" i="11" s="1"/>
  <c r="D37" i="11" a="1"/>
  <c r="D37" i="11" s="1"/>
  <c r="F37" i="11" a="1"/>
  <c r="F37" i="11" s="1"/>
  <c r="G37" i="11" a="1"/>
  <c r="G37" i="11" s="1"/>
  <c r="C38" i="11" a="1"/>
  <c r="C38" i="11" s="1"/>
  <c r="D38" i="11" a="1"/>
  <c r="D38" i="11" s="1"/>
  <c r="F38" i="11" a="1"/>
  <c r="F38" i="11" s="1"/>
  <c r="G38" i="11" a="1"/>
  <c r="G38" i="11" s="1"/>
  <c r="C39" i="11" a="1"/>
  <c r="C39" i="11" s="1"/>
  <c r="D39" i="11" a="1"/>
  <c r="D39" i="11" s="1"/>
  <c r="F39" i="11" a="1"/>
  <c r="F39" i="11" s="1"/>
  <c r="G39" i="11" a="1"/>
  <c r="G39" i="11" s="1"/>
  <c r="C40" i="11" a="1"/>
  <c r="C40" i="11" s="1"/>
  <c r="D40" i="11" a="1"/>
  <c r="D40" i="11" s="1"/>
  <c r="F40" i="11" a="1"/>
  <c r="F40" i="11" s="1"/>
  <c r="G40" i="11" a="1"/>
  <c r="G40" i="11" s="1"/>
  <c r="C41" i="11" a="1"/>
  <c r="C41" i="11" s="1"/>
  <c r="D41" i="11" a="1"/>
  <c r="D41" i="11" s="1"/>
  <c r="F41" i="11" a="1"/>
  <c r="F41" i="11" s="1"/>
  <c r="G41" i="11" a="1"/>
  <c r="G41" i="11" s="1"/>
  <c r="C42" i="11" a="1"/>
  <c r="C42" i="11" s="1"/>
  <c r="D42" i="11" a="1"/>
  <c r="D42" i="11" s="1"/>
  <c r="F42" i="11" a="1"/>
  <c r="F42" i="11" s="1"/>
  <c r="G42" i="11" a="1"/>
  <c r="G42" i="11" s="1"/>
  <c r="C43" i="11" a="1"/>
  <c r="C43" i="11" s="1"/>
  <c r="D43" i="11" a="1"/>
  <c r="D43" i="11" s="1"/>
  <c r="F43" i="11" a="1"/>
  <c r="F43" i="11" s="1"/>
  <c r="G43" i="11" a="1"/>
  <c r="G43" i="11" s="1"/>
  <c r="C44" i="11" a="1"/>
  <c r="C44" i="11" s="1"/>
  <c r="D44" i="11" a="1"/>
  <c r="D44" i="11" s="1"/>
  <c r="F44" i="11" a="1"/>
  <c r="F44" i="11" s="1"/>
  <c r="G44" i="11" a="1"/>
  <c r="G44" i="11" s="1"/>
  <c r="C45" i="11" a="1"/>
  <c r="C45" i="11" s="1"/>
  <c r="D45" i="11" a="1"/>
  <c r="D45" i="11" s="1"/>
  <c r="F45" i="11" a="1"/>
  <c r="F45" i="11" s="1"/>
  <c r="G45" i="11" a="1"/>
  <c r="G45" i="11" s="1"/>
  <c r="C46" i="11" a="1"/>
  <c r="C46" i="11" s="1"/>
  <c r="D46" i="11" a="1"/>
  <c r="D46" i="11" s="1"/>
  <c r="F46" i="11" a="1"/>
  <c r="F46" i="11" s="1"/>
  <c r="G46" i="11" a="1"/>
  <c r="G46" i="11" s="1"/>
  <c r="C47" i="11" a="1"/>
  <c r="C47" i="11" s="1"/>
  <c r="D47" i="11" a="1"/>
  <c r="D47" i="11" s="1"/>
  <c r="F47" i="11" a="1"/>
  <c r="F47" i="11" s="1"/>
  <c r="G47" i="11" a="1"/>
  <c r="G47" i="11" s="1"/>
  <c r="C48" i="11" a="1"/>
  <c r="C48" i="11" s="1"/>
  <c r="D48" i="11" a="1"/>
  <c r="D48" i="11" s="1"/>
  <c r="F48" i="11" a="1"/>
  <c r="F48" i="11" s="1"/>
  <c r="G48" i="11" a="1"/>
  <c r="G48" i="11" s="1"/>
  <c r="C49" i="11" a="1"/>
  <c r="C49" i="11" s="1"/>
  <c r="D49" i="11" a="1"/>
  <c r="D49" i="11" s="1"/>
  <c r="F49" i="11" a="1"/>
  <c r="F49" i="11" s="1"/>
  <c r="G49" i="11" a="1"/>
  <c r="G49" i="11" s="1"/>
  <c r="C50" i="11" a="1"/>
  <c r="C50" i="11" s="1"/>
  <c r="D50" i="11" a="1"/>
  <c r="D50" i="11" s="1"/>
  <c r="F50" i="11" a="1"/>
  <c r="F50" i="11" s="1"/>
  <c r="G50" i="11" a="1"/>
  <c r="G50" i="11" s="1"/>
  <c r="C51" i="11" a="1"/>
  <c r="C51" i="11" s="1"/>
  <c r="D51" i="11" a="1"/>
  <c r="D51" i="11" s="1"/>
  <c r="F51" i="11" a="1"/>
  <c r="F51" i="11" s="1"/>
  <c r="G51" i="11" a="1"/>
  <c r="G51" i="11" s="1"/>
  <c r="C52" i="11" a="1"/>
  <c r="C52" i="11" s="1"/>
  <c r="D52" i="11" a="1"/>
  <c r="D52" i="11" s="1"/>
  <c r="F52" i="11" a="1"/>
  <c r="F52" i="11" s="1"/>
  <c r="G52" i="11" a="1"/>
  <c r="G52" i="11" s="1"/>
  <c r="C53" i="11" a="1"/>
  <c r="C53" i="11" s="1"/>
  <c r="D53" i="11" a="1"/>
  <c r="D53" i="11" s="1"/>
  <c r="F53" i="11" a="1"/>
  <c r="F53" i="11" s="1"/>
  <c r="G53" i="11" a="1"/>
  <c r="G53" i="11" s="1"/>
  <c r="C54" i="11" a="1"/>
  <c r="C54" i="11" s="1"/>
  <c r="D54" i="11" a="1"/>
  <c r="D54" i="11" s="1"/>
  <c r="F54" i="11" a="1"/>
  <c r="F54" i="11" s="1"/>
  <c r="G54" i="11" a="1"/>
  <c r="G54" i="11" s="1"/>
  <c r="C55" i="11" a="1"/>
  <c r="C55" i="11" s="1"/>
  <c r="D55" i="11" a="1"/>
  <c r="D55" i="11" s="1"/>
  <c r="F55" i="11" a="1"/>
  <c r="F55" i="11" s="1"/>
  <c r="G55" i="11" a="1"/>
  <c r="G55" i="11" s="1"/>
  <c r="C56" i="11" a="1"/>
  <c r="C56" i="11" s="1"/>
  <c r="D56" i="11" a="1"/>
  <c r="D56" i="11" s="1"/>
  <c r="F56" i="11" a="1"/>
  <c r="F56" i="11" s="1"/>
  <c r="G56" i="11" a="1"/>
  <c r="G56" i="11" s="1"/>
  <c r="C57" i="11" a="1"/>
  <c r="C57" i="11" s="1"/>
  <c r="D57" i="11" a="1"/>
  <c r="D57" i="11" s="1"/>
  <c r="F57" i="11" a="1"/>
  <c r="F57" i="11" s="1"/>
  <c r="G57" i="11" a="1"/>
  <c r="G57" i="11" s="1"/>
  <c r="C58" i="11" a="1"/>
  <c r="C58" i="11" s="1"/>
  <c r="D58" i="11" a="1"/>
  <c r="D58" i="11" s="1"/>
  <c r="F58" i="11" a="1"/>
  <c r="F58" i="11" s="1"/>
  <c r="G58" i="11" a="1"/>
  <c r="G58" i="11" s="1"/>
  <c r="C59" i="11" a="1"/>
  <c r="C59" i="11" s="1"/>
  <c r="D59" i="11" a="1"/>
  <c r="D59" i="11" s="1"/>
  <c r="F59" i="11" a="1"/>
  <c r="F59" i="11" s="1"/>
  <c r="G59" i="11" a="1"/>
  <c r="G59" i="11" s="1"/>
  <c r="C60" i="11" a="1"/>
  <c r="C60" i="11" s="1"/>
  <c r="D60" i="11" a="1"/>
  <c r="D60" i="11" s="1"/>
  <c r="F60" i="11" a="1"/>
  <c r="F60" i="11" s="1"/>
  <c r="G60" i="11" a="1"/>
  <c r="G60" i="11" s="1"/>
  <c r="C61" i="11" a="1"/>
  <c r="C61" i="11" s="1"/>
  <c r="D61" i="11" a="1"/>
  <c r="D61" i="11" s="1"/>
  <c r="F61" i="11" a="1"/>
  <c r="F61" i="11" s="1"/>
  <c r="G61" i="11" a="1"/>
  <c r="G61" i="11" s="1"/>
  <c r="C62" i="11" a="1"/>
  <c r="C62" i="11" s="1"/>
  <c r="D62" i="11" a="1"/>
  <c r="D62" i="11" s="1"/>
  <c r="F62" i="11" a="1"/>
  <c r="F62" i="11" s="1"/>
  <c r="G62" i="11" a="1"/>
  <c r="G62" i="11" s="1"/>
  <c r="C63" i="11" a="1"/>
  <c r="C63" i="11" s="1"/>
  <c r="D63" i="11" a="1"/>
  <c r="D63" i="11" s="1"/>
  <c r="F63" i="11" a="1"/>
  <c r="F63" i="11" s="1"/>
  <c r="G63" i="11" a="1"/>
  <c r="G63" i="11" s="1"/>
  <c r="C64" i="11" a="1"/>
  <c r="C64" i="11" s="1"/>
  <c r="D64" i="11" a="1"/>
  <c r="D64" i="11" s="1"/>
  <c r="F64" i="11" a="1"/>
  <c r="F64" i="11" s="1"/>
  <c r="G64" i="11" a="1"/>
  <c r="G64" i="11" s="1"/>
  <c r="C65" i="11" a="1"/>
  <c r="C65" i="11" s="1"/>
  <c r="D65" i="11" a="1"/>
  <c r="D65" i="11" s="1"/>
  <c r="F65" i="11" a="1"/>
  <c r="F65" i="11" s="1"/>
  <c r="G65" i="11" a="1"/>
  <c r="G65" i="11" s="1"/>
  <c r="C66" i="11" a="1"/>
  <c r="C66" i="11" s="1"/>
  <c r="D66" i="11" a="1"/>
  <c r="D66" i="11" s="1"/>
  <c r="F66" i="11" a="1"/>
  <c r="F66" i="11" s="1"/>
  <c r="G66" i="11" a="1"/>
  <c r="G66" i="11" s="1"/>
  <c r="C67" i="11" a="1"/>
  <c r="C67" i="11" s="1"/>
  <c r="D67" i="11" a="1"/>
  <c r="D67" i="11" s="1"/>
  <c r="F67" i="11" a="1"/>
  <c r="F67" i="11" s="1"/>
  <c r="G67" i="11" a="1"/>
  <c r="G67" i="11" s="1"/>
  <c r="C68" i="11" a="1"/>
  <c r="C68" i="11" s="1"/>
  <c r="D68" i="11" a="1"/>
  <c r="D68" i="11" s="1"/>
  <c r="F68" i="11" a="1"/>
  <c r="F68" i="11" s="1"/>
  <c r="G68" i="11" a="1"/>
  <c r="G68" i="11" s="1"/>
  <c r="C69" i="11" a="1"/>
  <c r="C69" i="11" s="1"/>
  <c r="D69" i="11" a="1"/>
  <c r="D69" i="11" s="1"/>
  <c r="F69" i="11" a="1"/>
  <c r="F69" i="11" s="1"/>
  <c r="G69" i="11" a="1"/>
  <c r="G69" i="11" s="1"/>
  <c r="C70" i="11" a="1"/>
  <c r="C70" i="11" s="1"/>
  <c r="D70" i="11" a="1"/>
  <c r="D70" i="11" s="1"/>
  <c r="F70" i="11" a="1"/>
  <c r="F70" i="11" s="1"/>
  <c r="G70" i="11" a="1"/>
  <c r="G70" i="11" s="1"/>
  <c r="C71" i="11" a="1"/>
  <c r="C71" i="11" s="1"/>
  <c r="D71" i="11" a="1"/>
  <c r="D71" i="11" s="1"/>
  <c r="F71" i="11" a="1"/>
  <c r="F71" i="11" s="1"/>
  <c r="G71" i="11" a="1"/>
  <c r="G71" i="11" s="1"/>
  <c r="C72" i="11" a="1"/>
  <c r="C72" i="11" s="1"/>
  <c r="D72" i="11" a="1"/>
  <c r="D72" i="11" s="1"/>
  <c r="F72" i="11" a="1"/>
  <c r="F72" i="11" s="1"/>
  <c r="G72" i="11" a="1"/>
  <c r="G72" i="11" s="1"/>
  <c r="C73" i="11" a="1"/>
  <c r="C73" i="11" s="1"/>
  <c r="D73" i="11" a="1"/>
  <c r="D73" i="11" s="1"/>
  <c r="F73" i="11" a="1"/>
  <c r="F73" i="11" s="1"/>
  <c r="G73" i="11" a="1"/>
  <c r="G73" i="11" s="1"/>
  <c r="C74" i="11" a="1"/>
  <c r="C74" i="11" s="1"/>
  <c r="D74" i="11" a="1"/>
  <c r="D74" i="11" s="1"/>
  <c r="F74" i="11" a="1"/>
  <c r="F74" i="11" s="1"/>
  <c r="G74" i="11" a="1"/>
  <c r="G74" i="11" s="1"/>
  <c r="C75" i="11" a="1"/>
  <c r="C75" i="11" s="1"/>
  <c r="D75" i="11" a="1"/>
  <c r="D75" i="11" s="1"/>
  <c r="F75" i="11" a="1"/>
  <c r="F75" i="11" s="1"/>
  <c r="G75" i="11" a="1"/>
  <c r="G75" i="11" s="1"/>
  <c r="C76" i="11" a="1"/>
  <c r="C76" i="11" s="1"/>
  <c r="D76" i="11" a="1"/>
  <c r="D76" i="11" s="1"/>
  <c r="F76" i="11" a="1"/>
  <c r="F76" i="11" s="1"/>
  <c r="G76" i="11" a="1"/>
  <c r="G76" i="11" s="1"/>
  <c r="C77" i="11" a="1"/>
  <c r="C77" i="11" s="1"/>
  <c r="D77" i="11" a="1"/>
  <c r="D77" i="11" s="1"/>
  <c r="F77" i="11" a="1"/>
  <c r="F77" i="11" s="1"/>
  <c r="G77" i="11" a="1"/>
  <c r="G77" i="11" s="1"/>
  <c r="C78" i="11" a="1"/>
  <c r="C78" i="11" s="1"/>
  <c r="D78" i="11" a="1"/>
  <c r="D78" i="11" s="1"/>
  <c r="F78" i="11" a="1"/>
  <c r="F78" i="11" s="1"/>
  <c r="G78" i="11" a="1"/>
  <c r="G78" i="11" s="1"/>
  <c r="C79" i="11" a="1"/>
  <c r="C79" i="11" s="1"/>
  <c r="D79" i="11" a="1"/>
  <c r="D79" i="11" s="1"/>
  <c r="F79" i="11" a="1"/>
  <c r="F79" i="11" s="1"/>
  <c r="G79" i="11" a="1"/>
  <c r="G79" i="11" s="1"/>
  <c r="C80" i="11" a="1"/>
  <c r="C80" i="11" s="1"/>
  <c r="D80" i="11" a="1"/>
  <c r="D80" i="11" s="1"/>
  <c r="F80" i="11" a="1"/>
  <c r="F80" i="11" s="1"/>
  <c r="G80" i="11" a="1"/>
  <c r="G80" i="11" s="1"/>
  <c r="C81" i="11" a="1"/>
  <c r="C81" i="11" s="1"/>
  <c r="D81" i="11" a="1"/>
  <c r="D81" i="11" s="1"/>
  <c r="F81" i="11" a="1"/>
  <c r="F81" i="11" s="1"/>
  <c r="G81" i="11" a="1"/>
  <c r="G81" i="11" s="1"/>
  <c r="C82" i="11" a="1"/>
  <c r="C82" i="11" s="1"/>
  <c r="D82" i="11" a="1"/>
  <c r="D82" i="11" s="1"/>
  <c r="F82" i="11" a="1"/>
  <c r="F82" i="11" s="1"/>
  <c r="G82" i="11" a="1"/>
  <c r="G82" i="11" s="1"/>
  <c r="C83" i="11" a="1"/>
  <c r="C83" i="11" s="1"/>
  <c r="D83" i="11" a="1"/>
  <c r="D83" i="11" s="1"/>
  <c r="F83" i="11" a="1"/>
  <c r="F83" i="11" s="1"/>
  <c r="G83" i="11" a="1"/>
  <c r="G83" i="11" s="1"/>
  <c r="C84" i="11" a="1"/>
  <c r="C84" i="11" s="1"/>
  <c r="D84" i="11" a="1"/>
  <c r="D84" i="11" s="1"/>
  <c r="F84" i="11" a="1"/>
  <c r="F84" i="11" s="1"/>
  <c r="G84" i="11" a="1"/>
  <c r="G84" i="11" s="1"/>
  <c r="C85" i="11" a="1"/>
  <c r="C85" i="11" s="1"/>
  <c r="D85" i="11" a="1"/>
  <c r="D85" i="11" s="1"/>
  <c r="F85" i="11" a="1"/>
  <c r="F85" i="11" s="1"/>
  <c r="G85" i="11" a="1"/>
  <c r="G85" i="11" s="1"/>
  <c r="C86" i="11" a="1"/>
  <c r="C86" i="11" s="1"/>
  <c r="D86" i="11" a="1"/>
  <c r="D86" i="11" s="1"/>
  <c r="F86" i="11" a="1"/>
  <c r="F86" i="11" s="1"/>
  <c r="G86" i="11" a="1"/>
  <c r="G86" i="11" s="1"/>
  <c r="C87" i="11" a="1"/>
  <c r="C87" i="11" s="1"/>
  <c r="D87" i="11" a="1"/>
  <c r="D87" i="11" s="1"/>
  <c r="F87" i="11" a="1"/>
  <c r="F87" i="11" s="1"/>
  <c r="G87" i="11" a="1"/>
  <c r="G87" i="11" s="1"/>
  <c r="C88" i="11" a="1"/>
  <c r="C88" i="11" s="1"/>
  <c r="D88" i="11" a="1"/>
  <c r="D88" i="11" s="1"/>
  <c r="F88" i="11" a="1"/>
  <c r="F88" i="11" s="1"/>
  <c r="G88" i="11" a="1"/>
  <c r="G88" i="11" s="1"/>
  <c r="C89" i="11" a="1"/>
  <c r="C89" i="11" s="1"/>
  <c r="D89" i="11" a="1"/>
  <c r="D89" i="11" s="1"/>
  <c r="F89" i="11" a="1"/>
  <c r="F89" i="11" s="1"/>
  <c r="G89" i="11" a="1"/>
  <c r="G89" i="11" s="1"/>
  <c r="C90" i="11" a="1"/>
  <c r="C90" i="11" s="1"/>
  <c r="D90" i="11" a="1"/>
  <c r="D90" i="11" s="1"/>
  <c r="F90" i="11" a="1"/>
  <c r="F90" i="11" s="1"/>
  <c r="G90" i="11" a="1"/>
  <c r="G90" i="11" s="1"/>
  <c r="C91" i="11" a="1"/>
  <c r="C91" i="11" s="1"/>
  <c r="D91" i="11" a="1"/>
  <c r="D91" i="11" s="1"/>
  <c r="F91" i="11" a="1"/>
  <c r="F91" i="11" s="1"/>
  <c r="G91" i="11" a="1"/>
  <c r="G91" i="11" s="1"/>
  <c r="C92" i="11" a="1"/>
  <c r="C92" i="11" s="1"/>
  <c r="D92" i="11" a="1"/>
  <c r="D92" i="11" s="1"/>
  <c r="F92" i="11" a="1"/>
  <c r="F92" i="11" s="1"/>
  <c r="G92" i="11" a="1"/>
  <c r="G92" i="11" s="1"/>
  <c r="C93" i="11" a="1"/>
  <c r="C93" i="11" s="1"/>
  <c r="D93" i="11" a="1"/>
  <c r="D93" i="11" s="1"/>
  <c r="F93" i="11" a="1"/>
  <c r="F93" i="11" s="1"/>
  <c r="G93" i="11" a="1"/>
  <c r="G93" i="11" s="1"/>
  <c r="C94" i="11" a="1"/>
  <c r="C94" i="11" s="1"/>
  <c r="D94" i="11" a="1"/>
  <c r="D94" i="11" s="1"/>
  <c r="F94" i="11" a="1"/>
  <c r="F94" i="11" s="1"/>
  <c r="G94" i="11" a="1"/>
  <c r="G94" i="11" s="1"/>
  <c r="C95" i="11" a="1"/>
  <c r="C95" i="11" s="1"/>
  <c r="D95" i="11" a="1"/>
  <c r="D95" i="11" s="1"/>
  <c r="F95" i="11" a="1"/>
  <c r="F95" i="11" s="1"/>
  <c r="G95" i="11" a="1"/>
  <c r="G95" i="11" s="1"/>
  <c r="C96" i="11" a="1"/>
  <c r="C96" i="11" s="1"/>
  <c r="D96" i="11" a="1"/>
  <c r="D96" i="11" s="1"/>
  <c r="F96" i="11" a="1"/>
  <c r="F96" i="11" s="1"/>
  <c r="G96" i="11" a="1"/>
  <c r="G96" i="11" s="1"/>
  <c r="C97" i="11" a="1"/>
  <c r="C97" i="11" s="1"/>
  <c r="D97" i="11" a="1"/>
  <c r="D97" i="11" s="1"/>
  <c r="F97" i="11" a="1"/>
  <c r="F97" i="11" s="1"/>
  <c r="G97" i="11" a="1"/>
  <c r="G97" i="11" s="1"/>
  <c r="C98" i="11" a="1"/>
  <c r="C98" i="11" s="1"/>
  <c r="D98" i="11" a="1"/>
  <c r="D98" i="11" s="1"/>
  <c r="F98" i="11" a="1"/>
  <c r="F98" i="11" s="1"/>
  <c r="G98" i="11" a="1"/>
  <c r="G98" i="11" s="1"/>
  <c r="C99" i="11" a="1"/>
  <c r="C99" i="11" s="1"/>
  <c r="D99" i="11" a="1"/>
  <c r="D99" i="11" s="1"/>
  <c r="F99" i="11" a="1"/>
  <c r="F99" i="11" s="1"/>
  <c r="G99" i="11" a="1"/>
  <c r="G99" i="11" s="1"/>
  <c r="C100" i="11" a="1"/>
  <c r="C100" i="11" s="1"/>
  <c r="D100" i="11" a="1"/>
  <c r="D100" i="11" s="1"/>
  <c r="F100" i="11" a="1"/>
  <c r="F100" i="11" s="1"/>
  <c r="G100" i="11" a="1"/>
  <c r="G100" i="11" s="1"/>
  <c r="C101" i="11" a="1"/>
  <c r="C101" i="11" s="1"/>
  <c r="D101" i="11" a="1"/>
  <c r="D101" i="11" s="1"/>
  <c r="F101" i="11" a="1"/>
  <c r="F101" i="11" s="1"/>
  <c r="G101" i="11" a="1"/>
  <c r="G101" i="11" s="1"/>
  <c r="C102" i="11" a="1"/>
  <c r="C102" i="11" s="1"/>
  <c r="D102" i="11" a="1"/>
  <c r="D102" i="11" s="1"/>
  <c r="F102" i="11" a="1"/>
  <c r="F102" i="11" s="1"/>
  <c r="G102" i="11" a="1"/>
  <c r="G102" i="11" s="1"/>
  <c r="C103" i="11" a="1"/>
  <c r="C103" i="11" s="1"/>
  <c r="D103" i="11" a="1"/>
  <c r="D103" i="11" s="1"/>
  <c r="F103" i="11" a="1"/>
  <c r="F103" i="11" s="1"/>
  <c r="G103" i="11" a="1"/>
  <c r="G103" i="11" s="1"/>
  <c r="C104" i="11" a="1"/>
  <c r="C104" i="11" s="1"/>
  <c r="D104" i="11" a="1"/>
  <c r="D104" i="11" s="1"/>
  <c r="F104" i="11" a="1"/>
  <c r="F104" i="11" s="1"/>
  <c r="G104" i="11" a="1"/>
  <c r="G104" i="11" s="1"/>
  <c r="C105" i="11" a="1"/>
  <c r="C105" i="11" s="1"/>
  <c r="D105" i="11" a="1"/>
  <c r="D105" i="11" s="1"/>
  <c r="F105" i="11" a="1"/>
  <c r="F105" i="11" s="1"/>
  <c r="G105" i="11" a="1"/>
  <c r="G105" i="11" s="1"/>
  <c r="C106" i="11" a="1"/>
  <c r="C106" i="11" s="1"/>
  <c r="D106" i="11" a="1"/>
  <c r="D106" i="11" s="1"/>
  <c r="F106" i="11" a="1"/>
  <c r="F106" i="11" s="1"/>
  <c r="G106" i="11" a="1"/>
  <c r="G106" i="11" s="1"/>
  <c r="C107" i="11" a="1"/>
  <c r="C107" i="11" s="1"/>
  <c r="D107" i="11" a="1"/>
  <c r="D107" i="11" s="1"/>
  <c r="F107" i="11" a="1"/>
  <c r="F107" i="11" s="1"/>
  <c r="G107" i="11" a="1"/>
  <c r="G107" i="11" s="1"/>
  <c r="C108" i="11" a="1"/>
  <c r="C108" i="11" s="1"/>
  <c r="D108" i="11" a="1"/>
  <c r="D108" i="11" s="1"/>
  <c r="F108" i="11" a="1"/>
  <c r="F108" i="11" s="1"/>
  <c r="G108" i="11" a="1"/>
  <c r="G108" i="11" s="1"/>
  <c r="C109" i="11" a="1"/>
  <c r="C109" i="11" s="1"/>
  <c r="D109" i="11" a="1"/>
  <c r="D109" i="11" s="1"/>
  <c r="F109" i="11" a="1"/>
  <c r="F109" i="11" s="1"/>
  <c r="G109" i="11" a="1"/>
  <c r="G109" i="11" s="1"/>
  <c r="C110" i="11" a="1"/>
  <c r="C110" i="11" s="1"/>
  <c r="D110" i="11" a="1"/>
  <c r="D110" i="11" s="1"/>
  <c r="F110" i="11" a="1"/>
  <c r="F110" i="11" s="1"/>
  <c r="G110" i="11" a="1"/>
  <c r="G110" i="11" s="1"/>
  <c r="C111" i="11" a="1"/>
  <c r="C111" i="11" s="1"/>
  <c r="D111" i="11" a="1"/>
  <c r="D111" i="11" s="1"/>
  <c r="F111" i="11" a="1"/>
  <c r="F111" i="11" s="1"/>
  <c r="G111" i="11" a="1"/>
  <c r="G111" i="11" s="1"/>
  <c r="C112" i="11" a="1"/>
  <c r="C112" i="11" s="1"/>
  <c r="D112" i="11" a="1"/>
  <c r="D112" i="11" s="1"/>
  <c r="F112" i="11" a="1"/>
  <c r="F112" i="11" s="1"/>
  <c r="G112" i="11" a="1"/>
  <c r="G112" i="11" s="1"/>
  <c r="C113" i="11" a="1"/>
  <c r="C113" i="11" s="1"/>
  <c r="D113" i="11" a="1"/>
  <c r="D113" i="11" s="1"/>
  <c r="F113" i="11" a="1"/>
  <c r="F113" i="11" s="1"/>
  <c r="G113" i="11" a="1"/>
  <c r="G113" i="11" s="1"/>
  <c r="C114" i="11" a="1"/>
  <c r="C114" i="11" s="1"/>
  <c r="D114" i="11" a="1"/>
  <c r="D114" i="11" s="1"/>
  <c r="F114" i="11" a="1"/>
  <c r="F114" i="11" s="1"/>
  <c r="G114" i="11" a="1"/>
  <c r="G114" i="11" s="1"/>
  <c r="C115" i="11" a="1"/>
  <c r="C115" i="11" s="1"/>
  <c r="D115" i="11" a="1"/>
  <c r="D115" i="11" s="1"/>
  <c r="F115" i="11" a="1"/>
  <c r="F115" i="11" s="1"/>
  <c r="G115" i="11" a="1"/>
  <c r="G115" i="11" s="1"/>
  <c r="C116" i="11" a="1"/>
  <c r="C116" i="11" s="1"/>
  <c r="D116" i="11" a="1"/>
  <c r="D116" i="11" s="1"/>
  <c r="F116" i="11" a="1"/>
  <c r="F116" i="11" s="1"/>
  <c r="G116" i="11" a="1"/>
  <c r="G116" i="11" s="1"/>
  <c r="C117" i="11" a="1"/>
  <c r="C117" i="11" s="1"/>
  <c r="D117" i="11" a="1"/>
  <c r="D117" i="11" s="1"/>
  <c r="F117" i="11" a="1"/>
  <c r="F117" i="11" s="1"/>
  <c r="G117" i="11" a="1"/>
  <c r="G117" i="11" s="1"/>
  <c r="C118" i="11" a="1"/>
  <c r="C118" i="11" s="1"/>
  <c r="D118" i="11" a="1"/>
  <c r="D118" i="11" s="1"/>
  <c r="F118" i="11" a="1"/>
  <c r="F118" i="11" s="1"/>
  <c r="G118" i="11" a="1"/>
  <c r="G118" i="11" s="1"/>
  <c r="C119" i="11" a="1"/>
  <c r="C119" i="11" s="1"/>
  <c r="D119" i="11" a="1"/>
  <c r="D119" i="11" s="1"/>
  <c r="F119" i="11" a="1"/>
  <c r="F119" i="11" s="1"/>
  <c r="G119" i="11" a="1"/>
  <c r="G119" i="11" s="1"/>
  <c r="C120" i="11" a="1"/>
  <c r="C120" i="11" s="1"/>
  <c r="D120" i="11" a="1"/>
  <c r="D120" i="11" s="1"/>
  <c r="F120" i="11" a="1"/>
  <c r="F120" i="11" s="1"/>
  <c r="G120" i="11" a="1"/>
  <c r="G120" i="11" s="1"/>
  <c r="C121" i="11" a="1"/>
  <c r="C121" i="11" s="1"/>
  <c r="D121" i="11" a="1"/>
  <c r="D121" i="11" s="1"/>
  <c r="F121" i="11" a="1"/>
  <c r="F121" i="11" s="1"/>
  <c r="G121" i="11" a="1"/>
  <c r="G121" i="11" s="1"/>
  <c r="C122" i="11" a="1"/>
  <c r="C122" i="11" s="1"/>
  <c r="D122" i="11" a="1"/>
  <c r="D122" i="11" s="1"/>
  <c r="F122" i="11" a="1"/>
  <c r="F122" i="11" s="1"/>
  <c r="G122" i="11" a="1"/>
  <c r="G122" i="11" s="1"/>
  <c r="C123" i="11" a="1"/>
  <c r="C123" i="11" s="1"/>
  <c r="D123" i="11" a="1"/>
  <c r="D123" i="11" s="1"/>
  <c r="F123" i="11" a="1"/>
  <c r="F123" i="11" s="1"/>
  <c r="G123" i="11" a="1"/>
  <c r="G123" i="11" s="1"/>
  <c r="G4" i="11" a="1"/>
  <c r="G4" i="11" s="1"/>
  <c r="F4" i="11" a="1"/>
  <c r="F4" i="11" s="1"/>
  <c r="D4" i="11" a="1"/>
  <c r="D4" i="11" s="1"/>
  <c r="C4" i="11" a="1"/>
  <c r="C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 s="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 s="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 s="1"/>
  <c r="B39" i="11" a="1"/>
  <c r="B39" i="11" s="1"/>
  <c r="B41" i="11" a="1"/>
  <c r="B41" i="11" s="1"/>
  <c r="B42" i="11" a="1"/>
  <c r="B42" i="11" s="1"/>
  <c r="B43" i="11" a="1"/>
  <c r="B43" i="11" s="1"/>
  <c r="B44" i="11" a="1"/>
  <c r="B44" i="11" s="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 s="1"/>
  <c r="B51" i="11" a="1"/>
  <c r="B51" i="11" s="1"/>
  <c r="B52" i="11" a="1"/>
  <c r="B52" i="11" s="1"/>
  <c r="B53" i="11" a="1"/>
  <c r="B53" i="11" s="1"/>
  <c r="B54" i="11" a="1"/>
  <c r="B54" i="11" s="1"/>
  <c r="B55" i="11" a="1"/>
  <c r="B55" i="11" s="1"/>
  <c r="B56" i="11" a="1"/>
  <c r="B56" i="11" s="1"/>
  <c r="B57" i="11" a="1"/>
  <c r="B57" i="11" s="1"/>
  <c r="B58" i="11" a="1"/>
  <c r="B58" i="11" s="1"/>
  <c r="B59" i="11" a="1"/>
  <c r="B59" i="11" s="1"/>
  <c r="B60" i="11" a="1"/>
  <c r="B60" i="11" s="1"/>
  <c r="B61" i="11" a="1"/>
  <c r="B61" i="11" s="1"/>
  <c r="B62" i="11" a="1"/>
  <c r="B62" i="11" s="1"/>
  <c r="B63" i="11" a="1"/>
  <c r="B63" i="11" s="1"/>
  <c r="B64" i="11" a="1"/>
  <c r="B64" i="11" s="1"/>
  <c r="B65" i="11" a="1"/>
  <c r="B65" i="11" s="1"/>
  <c r="B66" i="11" a="1"/>
  <c r="B66" i="11" s="1"/>
  <c r="B67" i="11" a="1"/>
  <c r="B67" i="11" s="1"/>
  <c r="B68" i="11" a="1"/>
  <c r="B68" i="11"/>
  <c r="B69" i="11" a="1"/>
  <c r="B69" i="11" s="1"/>
  <c r="B70" i="11" a="1"/>
  <c r="B70" i="11" s="1"/>
  <c r="B71" i="11" a="1"/>
  <c r="B71" i="11" s="1"/>
  <c r="B72" i="11" a="1"/>
  <c r="B72" i="11" s="1"/>
  <c r="B73" i="11" a="1"/>
  <c r="B73" i="11" s="1"/>
  <c r="B74" i="11" a="1"/>
  <c r="B74" i="11" s="1"/>
  <c r="B75" i="11" a="1"/>
  <c r="B75" i="11" s="1"/>
  <c r="B76" i="11" a="1"/>
  <c r="B76" i="11" s="1"/>
  <c r="B77" i="11" a="1"/>
  <c r="B77" i="11" s="1"/>
  <c r="B78" i="11" a="1"/>
  <c r="B78" i="11" s="1"/>
  <c r="B79" i="11" a="1"/>
  <c r="B79" i="11" s="1"/>
  <c r="B80" i="11" a="1"/>
  <c r="B80" i="11" s="1"/>
  <c r="B81" i="11" a="1"/>
  <c r="B81" i="11" s="1"/>
  <c r="B82" i="11" a="1"/>
  <c r="B82" i="11" s="1"/>
  <c r="B83" i="11" a="1"/>
  <c r="B83" i="11" s="1"/>
  <c r="B84" i="11" a="1"/>
  <c r="B84" i="11" s="1"/>
  <c r="B85" i="11" a="1"/>
  <c r="B85" i="11" s="1"/>
  <c r="B86" i="11" a="1"/>
  <c r="B86" i="11" s="1"/>
  <c r="B87" i="11" a="1"/>
  <c r="B87" i="11" s="1"/>
  <c r="B88" i="11" a="1"/>
  <c r="B88" i="11" s="1"/>
  <c r="B89" i="11" a="1"/>
  <c r="B89" i="11" s="1"/>
  <c r="B90" i="11" a="1"/>
  <c r="B90" i="11" s="1"/>
  <c r="B91" i="11" a="1"/>
  <c r="B91" i="11" s="1"/>
  <c r="B92" i="11" a="1"/>
  <c r="B92" i="11" s="1"/>
  <c r="B93" i="11" a="1"/>
  <c r="B93" i="11" s="1"/>
  <c r="B94" i="11" a="1"/>
  <c r="B94" i="11" s="1"/>
  <c r="B95" i="11" a="1"/>
  <c r="B95" i="11" s="1"/>
  <c r="B96" i="11" a="1"/>
  <c r="B96" i="11" s="1"/>
  <c r="B97" i="11" a="1"/>
  <c r="B97" i="11" s="1"/>
  <c r="B98" i="11" a="1"/>
  <c r="B98" i="11" s="1"/>
  <c r="B99" i="11" a="1"/>
  <c r="B99" i="11" s="1"/>
  <c r="B100" i="11" a="1"/>
  <c r="B100" i="11" s="1"/>
  <c r="B101" i="11" a="1"/>
  <c r="B101" i="11" s="1"/>
  <c r="B102" i="11" a="1"/>
  <c r="B102" i="11" s="1"/>
  <c r="B103" i="11" a="1"/>
  <c r="B103" i="11" s="1"/>
  <c r="B104" i="11" a="1"/>
  <c r="B104" i="11" s="1"/>
  <c r="B105" i="11" a="1"/>
  <c r="B105" i="11" s="1"/>
  <c r="B106" i="11" a="1"/>
  <c r="B106" i="11" s="1"/>
  <c r="B107" i="11" a="1"/>
  <c r="B107" i="11" s="1"/>
  <c r="B108" i="11" a="1"/>
  <c r="B108" i="11" s="1"/>
  <c r="B109" i="11" a="1"/>
  <c r="B109" i="11" s="1"/>
  <c r="B110" i="11" a="1"/>
  <c r="B110" i="11" s="1"/>
  <c r="B111" i="11" a="1"/>
  <c r="B111" i="11" s="1"/>
  <c r="B112" i="11" a="1"/>
  <c r="B112" i="11" s="1"/>
  <c r="B113" i="11" a="1"/>
  <c r="B113" i="11" s="1"/>
  <c r="B114" i="11" a="1"/>
  <c r="B114" i="11" s="1"/>
  <c r="B115" i="11" a="1"/>
  <c r="B115" i="11" s="1"/>
  <c r="B116" i="11" a="1"/>
  <c r="B116" i="11" s="1"/>
  <c r="B117" i="11" a="1"/>
  <c r="B117" i="11" s="1"/>
  <c r="B118" i="11" a="1"/>
  <c r="B118" i="11" s="1"/>
  <c r="B119" i="11" a="1"/>
  <c r="B119" i="11" s="1"/>
  <c r="B120" i="11" a="1"/>
  <c r="B120" i="11" s="1"/>
  <c r="B121" i="11" a="1"/>
  <c r="B121" i="11" s="1"/>
  <c r="B122" i="11" a="1"/>
  <c r="B122" i="11" s="1"/>
  <c r="B123" i="11" a="1"/>
  <c r="B123" i="11" s="1"/>
  <c r="Y73" i="7" l="1"/>
  <c r="Y71" i="7"/>
  <c r="Y69" i="7"/>
  <c r="Y67" i="7"/>
  <c r="Y63" i="7"/>
  <c r="Y68" i="7"/>
  <c r="Y72" i="7" l="1"/>
  <c r="Y70" i="7"/>
  <c r="Y62" i="7" l="1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 l="1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 l="1"/>
  <c r="Y11" i="7"/>
  <c r="Y10" i="7"/>
  <c r="Y9" i="7"/>
  <c r="Y8" i="7"/>
  <c r="Y7" i="7"/>
  <c r="Y6" i="7"/>
  <c r="Y5" i="7"/>
  <c r="Y4" i="7"/>
  <c r="Y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Ochoa</author>
  </authors>
  <commentList>
    <comment ref="A4" authorId="0" shapeId="0" xr:uid="{16E58DD1-CE92-493F-96D5-3337FA0F8FA3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Se elimina porque muchas empresas tienen un Current Ratio de 0 (son outlayers).</t>
        </r>
      </text>
    </comment>
    <comment ref="F4" authorId="0" shapeId="0" xr:uid="{08B6BC62-6181-4341-9200-0781B5FC3B2C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Se basan en la cantidad de acciones de una empresa. No es un factor de interés.</t>
        </r>
      </text>
    </comment>
    <comment ref="H4" authorId="0" shapeId="0" xr:uid="{9DFB9898-B7C2-4EFC-B274-E28DA581F96F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Es lo mismo que el siguiente ratio.</t>
        </r>
      </text>
    </comment>
    <comment ref="E5" authorId="0" shapeId="0" xr:uid="{FC34B695-C6C9-404D-B4F7-EDA2E45B42EA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Muchos outliers.
</t>
        </r>
      </text>
    </comment>
    <comment ref="E6" authorId="0" shapeId="0" xr:uid="{4F81101A-7C7E-4F2D-B3BA-B03BAD24CF22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Muchos outliers.</t>
        </r>
      </text>
    </comment>
    <comment ref="G6" authorId="0" shapeId="0" xr:uid="{AD448A7C-DCDD-489E-9F96-A467E48BA30F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Muchos outliers.</t>
        </r>
      </text>
    </comment>
    <comment ref="A7" authorId="0" shapeId="0" xr:uid="{5F19DE08-444F-434F-9543-78DDDB6CE024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No son ratios de importancia.</t>
        </r>
      </text>
    </comment>
    <comment ref="D7" authorId="0" shapeId="0" xr:uid="{B2DD66FE-CDFE-48C3-843F-E1E75A3BC944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Contiene muchos outliers.</t>
        </r>
      </text>
    </comment>
    <comment ref="D9" authorId="0" shapeId="0" xr:uid="{4E0AF73F-8160-4590-8553-F30458BA6D20}">
      <text>
        <r>
          <rPr>
            <b/>
            <sz val="9"/>
            <color indexed="81"/>
            <rFont val="Tahoma"/>
            <family val="2"/>
          </rPr>
          <t>Ana Ochoa:</t>
        </r>
        <r>
          <rPr>
            <sz val="9"/>
            <color indexed="81"/>
            <rFont val="Tahoma"/>
            <family val="2"/>
          </rPr>
          <t xml:space="preserve">
Muchos outliers.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<sst xmlns="http://schemas.openxmlformats.org/spreadsheetml/2006/main" count="1282" uniqueCount="251">
  <si>
    <t xml:space="preserve">Current Ratio </t>
  </si>
  <si>
    <t>Cash Ratio</t>
  </si>
  <si>
    <t>Days of Sales Outstanding</t>
  </si>
  <si>
    <t>Days of Inventory Outstanding</t>
  </si>
  <si>
    <t>Operating Cycle</t>
  </si>
  <si>
    <t>Days of Payable Outstanding</t>
  </si>
  <si>
    <t>Cash Conversion Cycle</t>
  </si>
  <si>
    <t>Gross Profit Margin</t>
  </si>
  <si>
    <t>Operating Profit Margin</t>
  </si>
  <si>
    <t>Pretax Profit Margin</t>
  </si>
  <si>
    <t>Net Profit Margin</t>
  </si>
  <si>
    <t>Effective Tax Rate</t>
  </si>
  <si>
    <t>Return on Assets</t>
  </si>
  <si>
    <t>Return on Equity</t>
  </si>
  <si>
    <t>Return on Capital Employed</t>
  </si>
  <si>
    <t>Net Income per EBT</t>
  </si>
  <si>
    <t>Ebt per EBIT</t>
  </si>
  <si>
    <t>EBIT per Revenue</t>
  </si>
  <si>
    <t>Debt Ratio</t>
  </si>
  <si>
    <t>Debt to Equity Ratio</t>
  </si>
  <si>
    <t>Long Term Debt to Capitalization</t>
  </si>
  <si>
    <t>Total Debt to Capitalization</t>
  </si>
  <si>
    <t>Interest Coverage</t>
  </si>
  <si>
    <t>Cash Flow to Debt Ratio</t>
  </si>
  <si>
    <t>Company Equity Multiplier</t>
  </si>
  <si>
    <t>Receivables Turnover</t>
  </si>
  <si>
    <t>Payables Turnover</t>
  </si>
  <si>
    <t>Inventory Turnover</t>
  </si>
  <si>
    <t>Fixed Asset Turnover</t>
  </si>
  <si>
    <t>Asset Turnover</t>
  </si>
  <si>
    <t>Operating Cash Flow per Share</t>
  </si>
  <si>
    <t>Free Cash Flow per Share</t>
  </si>
  <si>
    <t>Cash per Share</t>
  </si>
  <si>
    <t>Materiales</t>
  </si>
  <si>
    <t>Industriales</t>
  </si>
  <si>
    <t>Consumo Básico</t>
  </si>
  <si>
    <t>Salud</t>
  </si>
  <si>
    <t>Tecnología</t>
  </si>
  <si>
    <t>Utilidades</t>
  </si>
  <si>
    <t>Bienes Raíces</t>
  </si>
  <si>
    <t>ConocoPhillips (COP)</t>
  </si>
  <si>
    <t>LyondellBasell Industries NV (LYB)</t>
  </si>
  <si>
    <t>Newmont Corp. (NEM)</t>
  </si>
  <si>
    <t>Eastman Chemical Co. (EMN)</t>
  </si>
  <si>
    <t>Air Products And Chemicals (APD)</t>
  </si>
  <si>
    <t>DuPont De Nemours (DD)</t>
  </si>
  <si>
    <t>PPG Industries (PPG)</t>
  </si>
  <si>
    <t>FMC (FMC)</t>
  </si>
  <si>
    <t>Albemarle (ALB)</t>
  </si>
  <si>
    <t>Huntsman (HUN)</t>
  </si>
  <si>
    <t>Vulcan Materials Company (VMC)</t>
  </si>
  <si>
    <t>Republic Services Inc. (RSG)</t>
  </si>
  <si>
    <t>Waste Management (WM)</t>
  </si>
  <si>
    <t>TC Energy Corporation (TRP)</t>
  </si>
  <si>
    <t>Kinder Morgan (KMI)</t>
  </si>
  <si>
    <t>Waste Connections (WCN)</t>
  </si>
  <si>
    <t>Williams Companies (WMB)</t>
  </si>
  <si>
    <t>MPLX (MPLX)</t>
  </si>
  <si>
    <t>Cheniere Energy Partners (CQP)</t>
  </si>
  <si>
    <t>Apple (AAPL)</t>
  </si>
  <si>
    <t>Nvidia (NVDA)</t>
  </si>
  <si>
    <t>Intel Corp. (INTC)</t>
  </si>
  <si>
    <t>Microsoft (MSFT)</t>
  </si>
  <si>
    <t>Alphabet (GOOGL)</t>
  </si>
  <si>
    <t>Facebook (FB)</t>
  </si>
  <si>
    <t>Adobe (ADBE)</t>
  </si>
  <si>
    <t>Paypal (PYPL)</t>
  </si>
  <si>
    <t>Accenture (ACN)</t>
  </si>
  <si>
    <t>Chevron Corp. (CVX)</t>
  </si>
  <si>
    <t>Tesla (TSLA)</t>
  </si>
  <si>
    <t>Activision (ATVI)</t>
  </si>
  <si>
    <t>Consumo No Necesario</t>
  </si>
  <si>
    <t>General Motors (GM)</t>
  </si>
  <si>
    <t>Electronic Arts (EA)</t>
  </si>
  <si>
    <t>Tyson Foods (TSN)</t>
  </si>
  <si>
    <t>Coca-Cola (KO)</t>
  </si>
  <si>
    <t>Procter &amp; Gamble (PG)</t>
  </si>
  <si>
    <t>Pepsico (PEP)</t>
  </si>
  <si>
    <t>Walmart (WMT)</t>
  </si>
  <si>
    <t>Colgate-Palmolive (CL)</t>
  </si>
  <si>
    <t>Clorox Co. (CLX)</t>
  </si>
  <si>
    <t>Kraft Heinz (KHC)</t>
  </si>
  <si>
    <t>https://www.bloomberg.com/markets/sectors</t>
  </si>
  <si>
    <t>Financieras</t>
  </si>
  <si>
    <t>Amazon (AMZN)</t>
  </si>
  <si>
    <t>Anworth Mortgage (ANH)</t>
  </si>
  <si>
    <t>One Liberty Properties (OLP)</t>
  </si>
  <si>
    <t>Saul Centers (BFS)</t>
  </si>
  <si>
    <t>Franklin Street Properties (FSP)</t>
  </si>
  <si>
    <t>SL Green Realy (SLG)</t>
  </si>
  <si>
    <t>Redwood Trust (RWT)</t>
  </si>
  <si>
    <t>Vornado Realty Trust (VNO)</t>
  </si>
  <si>
    <t>Washington Real State Investment (WRE)</t>
  </si>
  <si>
    <t>Paramount Group (PGRE)</t>
  </si>
  <si>
    <t>Servicios de Comunicación</t>
  </si>
  <si>
    <t>DR Horton (DHI)</t>
  </si>
  <si>
    <t>Hasbro (HAS)</t>
  </si>
  <si>
    <t>Stanley Black and Decker (SWK)</t>
  </si>
  <si>
    <t>NVR (NVR)</t>
  </si>
  <si>
    <t>https://www.tradingview.com/markets/stocks-usa/sectorandindustry-sector/</t>
  </si>
  <si>
    <t>Visa (V)</t>
  </si>
  <si>
    <t>JP Morgan Chase (JPM)</t>
  </si>
  <si>
    <t>Bank of America (BAC)</t>
  </si>
  <si>
    <t>American Tower (AMT)</t>
  </si>
  <si>
    <t>Royal Bank of Canada (RY)</t>
  </si>
  <si>
    <t>Citigroup (C)</t>
  </si>
  <si>
    <t>Wells Fargo (WFC)</t>
  </si>
  <si>
    <t>American Express (AXP)</t>
  </si>
  <si>
    <t>HCA HealthCare (HCA)</t>
  </si>
  <si>
    <t>Centene Corporation (CNC)</t>
  </si>
  <si>
    <t>IQVIA Holdings (IQV)</t>
  </si>
  <si>
    <t>Laboratory Corp (LH)</t>
  </si>
  <si>
    <t>Quest Diagnostics (DGX)</t>
  </si>
  <si>
    <t>Verizon Communications (VZ)</t>
  </si>
  <si>
    <t>AT&amp;T (T)</t>
  </si>
  <si>
    <t>T-Mobile (TMUS)</t>
  </si>
  <si>
    <t>BCE (BCE)</t>
  </si>
  <si>
    <t>Telus (TU)</t>
  </si>
  <si>
    <t>American Electric Power (AEP)</t>
  </si>
  <si>
    <t>Xcel Energy (XEL)</t>
  </si>
  <si>
    <t>Sempra (SRE)</t>
  </si>
  <si>
    <t>Wec Energy Group (WEC)</t>
  </si>
  <si>
    <t>Energía (Minerales)</t>
  </si>
  <si>
    <t>Phillips (PSX)</t>
  </si>
  <si>
    <t>Transportes</t>
  </si>
  <si>
    <t>United Parcel Service (UPS)</t>
  </si>
  <si>
    <t>Union Pacific Corp (UNP)</t>
  </si>
  <si>
    <t>Canadian National Railway (CNI)</t>
  </si>
  <si>
    <t>Fedex Corp. (FDX)</t>
  </si>
  <si>
    <t>CSX Corp. (CSX)</t>
  </si>
  <si>
    <t>Norfolk Wouthern Corp (NSC)</t>
  </si>
  <si>
    <t>Southwest Airlines (LUV)</t>
  </si>
  <si>
    <t>OLD Dominion Freight (ODFL)</t>
  </si>
  <si>
    <t>Canadian Pacific Railway (CP)</t>
  </si>
  <si>
    <t>Delta Air Lines (DAL)</t>
  </si>
  <si>
    <t>Quick Ratio</t>
  </si>
  <si>
    <t>Empresas</t>
  </si>
  <si>
    <t>Mondelez (MDLZ)</t>
  </si>
  <si>
    <t>Estee Lauder (EL)</t>
  </si>
  <si>
    <t>Sectores</t>
  </si>
  <si>
    <t>Date</t>
  </si>
  <si>
    <t>Volatility</t>
  </si>
  <si>
    <t>Beta</t>
  </si>
  <si>
    <t xml:space="preserve">Financieras </t>
  </si>
  <si>
    <t>Toronto Dominion Bank (TD)</t>
  </si>
  <si>
    <t>Rogers Communications INC (RCI)</t>
  </si>
  <si>
    <t>Centurylink (CTL)</t>
  </si>
  <si>
    <t>Iridium Communications (IRDM)</t>
  </si>
  <si>
    <t>Pembina Pipeline Co. (PBA)</t>
  </si>
  <si>
    <t>HalliBurton (HAL)</t>
  </si>
  <si>
    <t>Cogent Communications (CCOI)</t>
  </si>
  <si>
    <t>US Cellular (USM)</t>
  </si>
  <si>
    <t>Ferrari N V (RACE)</t>
  </si>
  <si>
    <t>Duke Energy (DUK)</t>
  </si>
  <si>
    <t>The Southern Co. (SO)</t>
  </si>
  <si>
    <t>Canadian Natural Resources (CNQ)</t>
  </si>
  <si>
    <t>Suncor Energy (SU)</t>
  </si>
  <si>
    <t>Marathon Petroleum Corp. (MPC)</t>
  </si>
  <si>
    <t>Valero Energy Corp. (VLO)</t>
  </si>
  <si>
    <t>Pioner Natural Resources (PXD)</t>
  </si>
  <si>
    <t>Hess Corp. (HES)</t>
  </si>
  <si>
    <t>Operating Cash Flow Ratio</t>
  </si>
  <si>
    <t xml:space="preserve">  Free Cash Flow Operating Cash Flow Ratio</t>
  </si>
  <si>
    <t>Capital Expenditure Coverage Ratio</t>
  </si>
  <si>
    <t>Dividend Paid And Capex Coverage Ratio</t>
  </si>
  <si>
    <t>Dividend Payout Ratio</t>
  </si>
  <si>
    <t>Price Book Value Ratio</t>
  </si>
  <si>
    <t>Price To Book Ratio</t>
  </si>
  <si>
    <t>Price To Sales Ratio</t>
  </si>
  <si>
    <t>Price to Earnings Ratio</t>
  </si>
  <si>
    <t>Price To Free Cash Flows Ratio</t>
  </si>
  <si>
    <t>Price To Operating Cash Flows Ratio</t>
  </si>
  <si>
    <t>Price Earnings To Growth Ratio</t>
  </si>
  <si>
    <t>Price Sales Ratio</t>
  </si>
  <si>
    <t>Dividend Yield</t>
  </si>
  <si>
    <t>Enterprise Value Multiple</t>
  </si>
  <si>
    <t>Price Fair Value</t>
  </si>
  <si>
    <t>Empresas de Cada Sector</t>
  </si>
  <si>
    <t>Liquidity</t>
  </si>
  <si>
    <t>Debt</t>
  </si>
  <si>
    <t>Operating Performance</t>
  </si>
  <si>
    <t>Number of Shares</t>
  </si>
  <si>
    <t>Cash Flow Indicator</t>
  </si>
  <si>
    <t>Investment Valuation</t>
  </si>
  <si>
    <t>Free Cash Flow Operating Cash Flow Ratio</t>
  </si>
  <si>
    <t>Cash Flow Coverage Ratios</t>
  </si>
  <si>
    <t>Short Term Coverage Ratios</t>
  </si>
  <si>
    <t xml:space="preserve">Price Cash Flow Ratio </t>
  </si>
  <si>
    <t>Ratios (Indicadores)</t>
  </si>
  <si>
    <t>Operating Cash Flow Sales Ratio</t>
  </si>
  <si>
    <t>Risk</t>
  </si>
  <si>
    <t>Recommendation Rating</t>
  </si>
  <si>
    <t>Forward Price (Fundamental Analysis)</t>
  </si>
  <si>
    <t>Precio Objetivo (2 semanas después de la fecha)</t>
  </si>
  <si>
    <t>Último Precio vs. Máx del Último Año</t>
  </si>
  <si>
    <t>Último Precio vs. Precio Año Anterior</t>
  </si>
  <si>
    <t>Occidental Petroleum Corp. (OXY)</t>
  </si>
  <si>
    <t>Accounting Efficiency</t>
  </si>
  <si>
    <t>Profitability on Returns</t>
  </si>
  <si>
    <t>Target Price</t>
  </si>
  <si>
    <t>Last Price vs. Last Year Max. Price</t>
  </si>
  <si>
    <t>Last Price vs. Last Year Price</t>
  </si>
  <si>
    <t>Consolidated Edison (ED)</t>
  </si>
  <si>
    <t>PPL Corp. (PPL)</t>
  </si>
  <si>
    <t>Edison International (EIX)</t>
  </si>
  <si>
    <t>Entergy Corp. (ETR)</t>
  </si>
  <si>
    <t>Leggett &amp; Platt (LEG)</t>
  </si>
  <si>
    <t>Johnson &amp; Johnson (JNJ)</t>
  </si>
  <si>
    <t>Merck &amp; Co. (MRK)</t>
  </si>
  <si>
    <t>Pfizer (PFE)</t>
  </si>
  <si>
    <t>Abbott Laboratories (ABT)</t>
  </si>
  <si>
    <t>Thermo Fisher Scientific (TMO)</t>
  </si>
  <si>
    <t>CBRE Group (CBRE)</t>
  </si>
  <si>
    <t>Blackrock (BLK)</t>
  </si>
  <si>
    <t>Profitability (Accounting)</t>
  </si>
  <si>
    <t>Profitability (Returns)</t>
  </si>
  <si>
    <t>https://www.macrotrends.net/</t>
  </si>
  <si>
    <t>Ratios</t>
  </si>
  <si>
    <t>https://financialmodelingprep.com/</t>
  </si>
  <si>
    <t>https://finance.yahoo.com/</t>
  </si>
  <si>
    <t>Vonage Holdings (VG)</t>
  </si>
  <si>
    <t>PC1</t>
  </si>
  <si>
    <t>PC2</t>
  </si>
  <si>
    <t>PC3</t>
  </si>
  <si>
    <t>PC4</t>
  </si>
  <si>
    <t>PC5</t>
  </si>
  <si>
    <t>PC6</t>
  </si>
  <si>
    <t>Var. Expl.</t>
  </si>
  <si>
    <t>Variables</t>
  </si>
  <si>
    <t>Análisis de Componentes Principales</t>
  </si>
  <si>
    <t>Nuevos Índices</t>
  </si>
  <si>
    <t>Índice 1</t>
  </si>
  <si>
    <t>Índice 2</t>
  </si>
  <si>
    <t>Índice 3</t>
  </si>
  <si>
    <t>Índice 4</t>
  </si>
  <si>
    <t>Índice 5</t>
  </si>
  <si>
    <t>Índice 6</t>
  </si>
  <si>
    <t>Empresa</t>
  </si>
  <si>
    <t>Orden de los Índices</t>
  </si>
  <si>
    <t>Empresas que reportaron mal los números, tienen volatilidades altas y tienen un descuento contra el máximo del precio de su acción.</t>
  </si>
  <si>
    <t>Difieren</t>
  </si>
  <si>
    <t>Alto Índice</t>
  </si>
  <si>
    <t>Bajo Índice</t>
  </si>
  <si>
    <t>Nombre</t>
  </si>
  <si>
    <t>Menor liquidez</t>
  </si>
  <si>
    <t>Menor rentabilidad en retornos</t>
  </si>
  <si>
    <t>Más apalancamiento</t>
  </si>
  <si>
    <t>Mayor riesgo</t>
  </si>
  <si>
    <t>Mayor (malo) rating de recomendación</t>
  </si>
  <si>
    <t>Mayor descuento del precio de la acción con respecto al máximo.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</si>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</sst>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HICKEN Pie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5C5F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4" fillId="0" borderId="5" xfId="0" applyFont="1" applyBorder="1"/>
    <xf numFmtId="0" fontId="4" fillId="0" borderId="0" xfId="1" applyFont="1"/>
    <xf numFmtId="0" fontId="4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left" vertical="center" wrapText="1"/>
    </xf>
    <xf numFmtId="0" fontId="8" fillId="0" borderId="0" xfId="0" applyFont="1"/>
    <xf numFmtId="0" fontId="7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2" fillId="0" borderId="0" xfId="1"/>
    <xf numFmtId="10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quotePrefix="1"/>
    <xf numFmtId="14" fontId="0" fillId="0" borderId="4" xfId="0" applyNumberFormat="1" applyBorder="1" applyAlignment="1">
      <alignment horizontal="right"/>
    </xf>
    <xf numFmtId="0" fontId="0" fillId="0" borderId="0" xfId="0" applyAlignment="1">
      <alignment horizontal="right" vertical="center" wrapText="1"/>
    </xf>
    <xf numFmtId="14" fontId="0" fillId="0" borderId="5" xfId="0" applyNumberFormat="1" applyBorder="1" applyAlignment="1">
      <alignment horizontal="right"/>
    </xf>
    <xf numFmtId="0" fontId="0" fillId="0" borderId="0" xfId="0" applyAlignment="1">
      <alignment horizontal="right"/>
    </xf>
    <xf numFmtId="14" fontId="0" fillId="0" borderId="6" xfId="0" applyNumberFormat="1" applyBorder="1" applyAlignment="1">
      <alignment horizontal="right"/>
    </xf>
    <xf numFmtId="14" fontId="0" fillId="0" borderId="4" xfId="0" applyNumberFormat="1" applyBorder="1"/>
    <xf numFmtId="14" fontId="0" fillId="0" borderId="5" xfId="0" applyNumberFormat="1" applyBorder="1"/>
    <xf numFmtId="164" fontId="0" fillId="0" borderId="0" xfId="0" applyNumberFormat="1" applyAlignment="1">
      <alignment horizontal="right" vertical="center" wrapText="1"/>
    </xf>
    <xf numFmtId="14" fontId="0" fillId="0" borderId="6" xfId="0" applyNumberFormat="1" applyBorder="1"/>
    <xf numFmtId="14" fontId="0" fillId="0" borderId="4" xfId="0" applyNumberFormat="1" applyBorder="1" applyAlignment="1">
      <alignment horizontal="right" vertical="center" wrapText="1"/>
    </xf>
    <xf numFmtId="14" fontId="0" fillId="0" borderId="5" xfId="0" applyNumberFormat="1" applyBorder="1" applyAlignment="1">
      <alignment horizontal="right" vertical="center" wrapText="1"/>
    </xf>
    <xf numFmtId="14" fontId="0" fillId="0" borderId="6" xfId="0" applyNumberFormat="1" applyBorder="1" applyAlignment="1">
      <alignment horizontal="right" vertical="center" wrapText="1"/>
    </xf>
    <xf numFmtId="2" fontId="0" fillId="0" borderId="7" xfId="0" applyNumberFormat="1" applyBorder="1" applyAlignment="1">
      <alignment horizontal="right"/>
    </xf>
    <xf numFmtId="2" fontId="0" fillId="0" borderId="7" xfId="0" applyNumberFormat="1" applyBorder="1" applyAlignment="1">
      <alignment horizontal="right" vertical="center" wrapText="1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 wrapText="1"/>
    </xf>
    <xf numFmtId="2" fontId="1" fillId="0" borderId="0" xfId="0" applyNumberFormat="1" applyFont="1" applyAlignment="1">
      <alignment horizontal="right" vertical="center"/>
    </xf>
    <xf numFmtId="2" fontId="0" fillId="0" borderId="8" xfId="0" applyNumberFormat="1" applyBorder="1" applyAlignment="1">
      <alignment horizontal="right"/>
    </xf>
    <xf numFmtId="2" fontId="0" fillId="0" borderId="8" xfId="0" applyNumberFormat="1" applyBorder="1" applyAlignment="1">
      <alignment horizontal="right" vertical="center" wrapText="1"/>
    </xf>
    <xf numFmtId="2" fontId="0" fillId="0" borderId="7" xfId="0" applyNumberFormat="1" applyBorder="1"/>
    <xf numFmtId="164" fontId="0" fillId="0" borderId="7" xfId="0" applyNumberFormat="1" applyBorder="1" applyAlignment="1">
      <alignment horizontal="right"/>
    </xf>
    <xf numFmtId="164" fontId="0" fillId="0" borderId="7" xfId="0" applyNumberFormat="1" applyBorder="1" applyAlignment="1">
      <alignment horizontal="right" vertical="center" wrapText="1"/>
    </xf>
    <xf numFmtId="164" fontId="0" fillId="0" borderId="0" xfId="0" applyNumberFormat="1"/>
    <xf numFmtId="164" fontId="0" fillId="0" borderId="2" xfId="0" applyNumberFormat="1" applyBorder="1"/>
    <xf numFmtId="164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/>
    </xf>
    <xf numFmtId="164" fontId="0" fillId="0" borderId="8" xfId="0" applyNumberFormat="1" applyBorder="1" applyAlignment="1">
      <alignment horizontal="right"/>
    </xf>
    <xf numFmtId="164" fontId="0" fillId="0" borderId="8" xfId="0" applyNumberFormat="1" applyBorder="1" applyAlignment="1">
      <alignment horizontal="right" vertical="center" wrapText="1"/>
    </xf>
    <xf numFmtId="164" fontId="0" fillId="0" borderId="3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3" xfId="0" applyNumberFormat="1" applyBorder="1" applyAlignment="1">
      <alignment horizontal="right"/>
    </xf>
    <xf numFmtId="164" fontId="0" fillId="0" borderId="7" xfId="0" applyNumberFormat="1" applyBorder="1"/>
    <xf numFmtId="164" fontId="0" fillId="0" borderId="8" xfId="0" applyNumberFormat="1" applyBorder="1"/>
    <xf numFmtId="164" fontId="1" fillId="0" borderId="0" xfId="0" applyNumberFormat="1" applyFont="1" applyAlignment="1">
      <alignment vertical="center"/>
    </xf>
    <xf numFmtId="164" fontId="0" fillId="0" borderId="1" xfId="0" applyNumberFormat="1" applyBorder="1"/>
    <xf numFmtId="0" fontId="11" fillId="3" borderId="4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1" fillId="8" borderId="4" xfId="0" applyFont="1" applyFill="1" applyBorder="1" applyAlignment="1">
      <alignment horizontal="left" vertical="center" wrapText="1"/>
    </xf>
    <xf numFmtId="0" fontId="11" fillId="9" borderId="4" xfId="0" applyFont="1" applyFill="1" applyBorder="1" applyAlignment="1">
      <alignment horizontal="left" vertical="center" wrapText="1"/>
    </xf>
    <xf numFmtId="0" fontId="11" fillId="10" borderId="4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1" borderId="9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left" vertical="center"/>
    </xf>
    <xf numFmtId="0" fontId="16" fillId="5" borderId="4" xfId="0" applyFont="1" applyFill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 vertical="center"/>
    </xf>
    <xf numFmtId="164" fontId="14" fillId="0" borderId="8" xfId="0" applyNumberFormat="1" applyFont="1" applyBorder="1" applyAlignment="1">
      <alignment horizontal="right"/>
    </xf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8" xfId="0" applyNumberFormat="1" applyFont="1" applyBorder="1"/>
    <xf numFmtId="0" fontId="14" fillId="0" borderId="0" xfId="0" applyFont="1" applyAlignment="1">
      <alignment horizontal="right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 vertical="center"/>
    </xf>
    <xf numFmtId="164" fontId="4" fillId="0" borderId="8" xfId="0" applyNumberFormat="1" applyFont="1" applyBorder="1" applyAlignment="1">
      <alignment horizontal="right"/>
    </xf>
    <xf numFmtId="164" fontId="4" fillId="0" borderId="7" xfId="0" applyNumberFormat="1" applyFont="1" applyBorder="1"/>
    <xf numFmtId="164" fontId="4" fillId="0" borderId="0" xfId="0" applyNumberFormat="1" applyFont="1"/>
    <xf numFmtId="164" fontId="4" fillId="0" borderId="8" xfId="0" applyNumberFormat="1" applyFont="1" applyBorder="1"/>
    <xf numFmtId="0" fontId="4" fillId="0" borderId="0" xfId="0" applyFont="1" applyAlignment="1">
      <alignment horizontal="right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13</xdr:col>
      <xdr:colOff>200372</xdr:colOff>
      <xdr:row>10</xdr:row>
      <xdr:rowOff>4335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6A2208-7EFA-4640-9136-8DED46356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739588"/>
          <a:ext cx="2486372" cy="2962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otrends.net/" TargetMode="External"/><Relationship Id="rId2" Type="http://schemas.openxmlformats.org/officeDocument/2006/relationships/hyperlink" Target="https://www.tradingview.com/markets/stocks-usa/sectorandindustry-sector/" TargetMode="External"/><Relationship Id="rId1" Type="http://schemas.openxmlformats.org/officeDocument/2006/relationships/hyperlink" Target="https://www.tradingview.com/markets/stocks-usa/sectorandindustry-sector/" TargetMode="External"/><Relationship Id="rId5" Type="http://schemas.openxmlformats.org/officeDocument/2006/relationships/hyperlink" Target="https://finance.yahoo.com/" TargetMode="External"/><Relationship Id="rId4" Type="http://schemas.openxmlformats.org/officeDocument/2006/relationships/hyperlink" Target="https://financialmodelingpre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FB8E-AAFF-4CFB-BCA9-EDF849DBDB2A}">
  <dimension ref="A1:L20"/>
  <sheetViews>
    <sheetView workbookViewId="0">
      <selection activeCell="D18" sqref="D18"/>
    </sheetView>
  </sheetViews>
  <sheetFormatPr baseColWidth="10" defaultRowHeight="14.5"/>
  <cols>
    <col min="1" max="1" width="31.7265625" bestFit="1" customWidth="1"/>
    <col min="2" max="2" width="24.7265625" customWidth="1"/>
    <col min="3" max="3" width="29.453125" bestFit="1" customWidth="1"/>
    <col min="4" max="4" width="28" customWidth="1"/>
    <col min="5" max="5" width="38" bestFit="1" customWidth="1"/>
    <col min="6" max="6" width="27.453125" bestFit="1" customWidth="1"/>
    <col min="7" max="7" width="31" bestFit="1" customWidth="1"/>
    <col min="8" max="8" width="29.1796875" bestFit="1" customWidth="1"/>
    <col min="9" max="9" width="28.54296875" bestFit="1" customWidth="1"/>
    <col min="10" max="10" width="29.7265625" customWidth="1"/>
    <col min="11" max="11" width="33.26953125" bestFit="1" customWidth="1"/>
    <col min="12" max="12" width="29.81640625" bestFit="1" customWidth="1"/>
  </cols>
  <sheetData>
    <row r="1" spans="1:12" ht="43.5" customHeight="1">
      <c r="A1" s="11" t="s">
        <v>136</v>
      </c>
    </row>
    <row r="3" spans="1:12" s="1" customFormat="1" ht="35.25" customHeight="1">
      <c r="A3" s="36" t="s">
        <v>33</v>
      </c>
      <c r="B3" s="36" t="s">
        <v>35</v>
      </c>
      <c r="C3" s="36" t="s">
        <v>34</v>
      </c>
      <c r="D3" s="36" t="s">
        <v>83</v>
      </c>
      <c r="E3" s="36" t="s">
        <v>39</v>
      </c>
      <c r="F3" s="36" t="s">
        <v>36</v>
      </c>
      <c r="G3" s="36" t="s">
        <v>94</v>
      </c>
      <c r="H3" s="36" t="s">
        <v>71</v>
      </c>
      <c r="I3" s="36" t="s">
        <v>38</v>
      </c>
      <c r="J3" s="36" t="s">
        <v>37</v>
      </c>
      <c r="K3" s="36" t="s">
        <v>122</v>
      </c>
      <c r="L3" s="36" t="s">
        <v>124</v>
      </c>
    </row>
    <row r="4" spans="1:12">
      <c r="A4" s="4" t="s">
        <v>41</v>
      </c>
      <c r="B4" s="4" t="s">
        <v>81</v>
      </c>
      <c r="C4" s="4" t="s">
        <v>148</v>
      </c>
      <c r="D4" s="2" t="s">
        <v>107</v>
      </c>
      <c r="E4" s="2" t="s">
        <v>93</v>
      </c>
      <c r="F4" s="2" t="s">
        <v>208</v>
      </c>
      <c r="G4" s="4" t="s">
        <v>113</v>
      </c>
      <c r="H4" s="4" t="s">
        <v>69</v>
      </c>
      <c r="I4" s="4" t="s">
        <v>202</v>
      </c>
      <c r="J4" s="4" t="s">
        <v>59</v>
      </c>
      <c r="K4" s="4" t="s">
        <v>196</v>
      </c>
      <c r="L4" s="4" t="s">
        <v>125</v>
      </c>
    </row>
    <row r="5" spans="1:12">
      <c r="A5" s="4" t="s">
        <v>42</v>
      </c>
      <c r="B5" s="4" t="s">
        <v>74</v>
      </c>
      <c r="C5" s="4" t="s">
        <v>52</v>
      </c>
      <c r="D5" t="s">
        <v>100</v>
      </c>
      <c r="E5" t="s">
        <v>85</v>
      </c>
      <c r="F5" t="s">
        <v>209</v>
      </c>
      <c r="G5" s="4" t="s">
        <v>114</v>
      </c>
      <c r="H5" s="4" t="s">
        <v>97</v>
      </c>
      <c r="I5" s="4" t="s">
        <v>203</v>
      </c>
      <c r="J5" s="4" t="s">
        <v>60</v>
      </c>
      <c r="K5" s="4" t="s">
        <v>68</v>
      </c>
      <c r="L5" s="4" t="s">
        <v>126</v>
      </c>
    </row>
    <row r="6" spans="1:12">
      <c r="A6" s="4" t="s">
        <v>43</v>
      </c>
      <c r="B6" s="4" t="s">
        <v>137</v>
      </c>
      <c r="C6" s="4" t="s">
        <v>53</v>
      </c>
      <c r="D6" t="s">
        <v>213</v>
      </c>
      <c r="E6" t="s">
        <v>86</v>
      </c>
      <c r="F6" t="s">
        <v>210</v>
      </c>
      <c r="G6" s="6" t="s">
        <v>145</v>
      </c>
      <c r="H6" s="4" t="s">
        <v>98</v>
      </c>
      <c r="I6" s="6" t="s">
        <v>153</v>
      </c>
      <c r="J6" s="6" t="s">
        <v>61</v>
      </c>
      <c r="K6" s="4" t="s">
        <v>155</v>
      </c>
      <c r="L6" s="6" t="s">
        <v>127</v>
      </c>
    </row>
    <row r="7" spans="1:12">
      <c r="A7" s="4" t="s">
        <v>44</v>
      </c>
      <c r="B7" s="4" t="s">
        <v>75</v>
      </c>
      <c r="C7" s="4" t="s">
        <v>149</v>
      </c>
      <c r="D7" t="s">
        <v>101</v>
      </c>
      <c r="E7" t="s">
        <v>87</v>
      </c>
      <c r="F7" t="s">
        <v>211</v>
      </c>
      <c r="G7" s="4" t="s">
        <v>115</v>
      </c>
      <c r="H7" s="4" t="s">
        <v>70</v>
      </c>
      <c r="I7" s="4" t="s">
        <v>154</v>
      </c>
      <c r="J7" s="4" t="s">
        <v>67</v>
      </c>
      <c r="K7" s="4" t="s">
        <v>160</v>
      </c>
      <c r="L7" s="4" t="s">
        <v>128</v>
      </c>
    </row>
    <row r="8" spans="1:12">
      <c r="A8" s="4" t="s">
        <v>45</v>
      </c>
      <c r="B8" s="4" t="s">
        <v>76</v>
      </c>
      <c r="C8" s="4" t="s">
        <v>51</v>
      </c>
      <c r="D8" t="s">
        <v>102</v>
      </c>
      <c r="E8" t="s">
        <v>88</v>
      </c>
      <c r="F8" t="s">
        <v>108</v>
      </c>
      <c r="G8" s="4" t="s">
        <v>116</v>
      </c>
      <c r="H8" s="4" t="s">
        <v>152</v>
      </c>
      <c r="I8" s="4" t="s">
        <v>204</v>
      </c>
      <c r="J8" s="4" t="s">
        <v>62</v>
      </c>
      <c r="K8" s="4" t="s">
        <v>156</v>
      </c>
      <c r="L8" s="4" t="s">
        <v>129</v>
      </c>
    </row>
    <row r="9" spans="1:12">
      <c r="A9" s="4" t="s">
        <v>46</v>
      </c>
      <c r="B9" s="4" t="s">
        <v>77</v>
      </c>
      <c r="C9" s="4" t="s">
        <v>54</v>
      </c>
      <c r="D9" t="s">
        <v>103</v>
      </c>
      <c r="E9" t="s">
        <v>89</v>
      </c>
      <c r="F9" t="s">
        <v>109</v>
      </c>
      <c r="G9" s="4" t="s">
        <v>150</v>
      </c>
      <c r="H9" s="4" t="s">
        <v>72</v>
      </c>
      <c r="I9" s="4" t="s">
        <v>118</v>
      </c>
      <c r="J9" s="4" t="s">
        <v>63</v>
      </c>
      <c r="K9" s="4" t="s">
        <v>157</v>
      </c>
      <c r="L9" s="4" t="s">
        <v>130</v>
      </c>
    </row>
    <row r="10" spans="1:12">
      <c r="A10" s="4" t="s">
        <v>47</v>
      </c>
      <c r="B10" s="4" t="s">
        <v>78</v>
      </c>
      <c r="C10" s="4" t="s">
        <v>55</v>
      </c>
      <c r="D10" t="s">
        <v>105</v>
      </c>
      <c r="E10" t="s">
        <v>212</v>
      </c>
      <c r="F10" t="s">
        <v>110</v>
      </c>
      <c r="G10" s="4" t="s">
        <v>146</v>
      </c>
      <c r="H10" s="4" t="s">
        <v>73</v>
      </c>
      <c r="I10" s="4" t="s">
        <v>119</v>
      </c>
      <c r="J10" s="4" t="s">
        <v>64</v>
      </c>
      <c r="K10" s="4" t="s">
        <v>40</v>
      </c>
      <c r="L10" s="4" t="s">
        <v>131</v>
      </c>
    </row>
    <row r="11" spans="1:12">
      <c r="A11" s="4" t="s">
        <v>48</v>
      </c>
      <c r="B11" s="4" t="s">
        <v>138</v>
      </c>
      <c r="C11" s="4" t="s">
        <v>56</v>
      </c>
      <c r="D11" t="s">
        <v>104</v>
      </c>
      <c r="E11" t="s">
        <v>90</v>
      </c>
      <c r="F11" t="s">
        <v>207</v>
      </c>
      <c r="G11" s="4" t="s">
        <v>151</v>
      </c>
      <c r="H11" s="4" t="s">
        <v>95</v>
      </c>
      <c r="I11" s="4" t="s">
        <v>205</v>
      </c>
      <c r="J11" s="4" t="s">
        <v>84</v>
      </c>
      <c r="K11" s="4" t="s">
        <v>158</v>
      </c>
      <c r="L11" s="4" t="s">
        <v>132</v>
      </c>
    </row>
    <row r="12" spans="1:12">
      <c r="A12" s="4" t="s">
        <v>49</v>
      </c>
      <c r="B12" s="4" t="s">
        <v>79</v>
      </c>
      <c r="C12" s="4" t="s">
        <v>57</v>
      </c>
      <c r="D12" t="s">
        <v>106</v>
      </c>
      <c r="E12" t="s">
        <v>91</v>
      </c>
      <c r="F12" t="s">
        <v>111</v>
      </c>
      <c r="G12" s="4" t="s">
        <v>147</v>
      </c>
      <c r="H12" s="4" t="s">
        <v>206</v>
      </c>
      <c r="I12" s="4" t="s">
        <v>120</v>
      </c>
      <c r="J12" s="4" t="s">
        <v>66</v>
      </c>
      <c r="K12" s="4" t="s">
        <v>159</v>
      </c>
      <c r="L12" s="4" t="s">
        <v>133</v>
      </c>
    </row>
    <row r="13" spans="1:12">
      <c r="A13" s="5" t="s">
        <v>50</v>
      </c>
      <c r="B13" s="5" t="s">
        <v>80</v>
      </c>
      <c r="C13" s="5" t="s">
        <v>58</v>
      </c>
      <c r="D13" s="3" t="s">
        <v>144</v>
      </c>
      <c r="E13" s="3" t="s">
        <v>92</v>
      </c>
      <c r="F13" s="3" t="s">
        <v>112</v>
      </c>
      <c r="G13" s="5" t="s">
        <v>117</v>
      </c>
      <c r="H13" s="5" t="s">
        <v>96</v>
      </c>
      <c r="I13" s="5" t="s">
        <v>121</v>
      </c>
      <c r="J13" s="5" t="s">
        <v>65</v>
      </c>
      <c r="K13" s="5" t="s">
        <v>123</v>
      </c>
      <c r="L13" s="5" t="s">
        <v>134</v>
      </c>
    </row>
    <row r="16" spans="1:12">
      <c r="A16" s="9" t="s">
        <v>139</v>
      </c>
      <c r="B16" s="8" t="s">
        <v>82</v>
      </c>
    </row>
    <row r="17" spans="1:2">
      <c r="A17" s="10" t="s">
        <v>177</v>
      </c>
      <c r="B17" s="7" t="s">
        <v>99</v>
      </c>
    </row>
    <row r="18" spans="1:2">
      <c r="A18" s="117" t="s">
        <v>217</v>
      </c>
      <c r="B18" s="37" t="s">
        <v>216</v>
      </c>
    </row>
    <row r="19" spans="1:2">
      <c r="A19" s="117"/>
      <c r="B19" s="38" t="s">
        <v>218</v>
      </c>
    </row>
    <row r="20" spans="1:2">
      <c r="A20" s="117"/>
      <c r="B20" s="38" t="s">
        <v>219</v>
      </c>
    </row>
  </sheetData>
  <mergeCells count="1">
    <mergeCell ref="A18:A20"/>
  </mergeCells>
  <hyperlinks>
    <hyperlink ref="A17" r:id="rId1" display="https://www.tradingview.com/markets/stocks-usa/sectorandindustry-sector/" xr:uid="{9122B3FE-5765-49AA-B066-457828A89657}"/>
    <hyperlink ref="B17" r:id="rId2" xr:uid="{AFE24943-B0BE-4714-8DE4-F9D1E87A014F}"/>
    <hyperlink ref="B18" r:id="rId3" xr:uid="{ED0B9378-8A9C-4517-9447-2A99EE219402}"/>
    <hyperlink ref="B19" r:id="rId4" xr:uid="{F619F037-6293-4623-AA29-18DE1D67434A}"/>
    <hyperlink ref="B20" r:id="rId5" xr:uid="{C99C2C3C-5EB7-4D50-B84D-815D5ED0F7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D1D6-3058-4720-9579-BFF42CD5A500}">
  <dimension ref="A1:I15"/>
  <sheetViews>
    <sheetView zoomScale="85" zoomScaleNormal="85" workbookViewId="0">
      <selection activeCell="F6" sqref="F6"/>
    </sheetView>
  </sheetViews>
  <sheetFormatPr baseColWidth="10" defaultRowHeight="14.5"/>
  <cols>
    <col min="1" max="4" width="23.453125" customWidth="1"/>
    <col min="5" max="5" width="23.453125" style="8" customWidth="1"/>
    <col min="6" max="8" width="23.453125" customWidth="1"/>
    <col min="9" max="9" width="30.7265625" customWidth="1"/>
  </cols>
  <sheetData>
    <row r="1" spans="1:9" ht="43.5" customHeight="1">
      <c r="A1" s="11" t="s">
        <v>188</v>
      </c>
    </row>
    <row r="3" spans="1:9" s="14" customFormat="1" ht="35.25" customHeight="1">
      <c r="A3" s="15" t="s">
        <v>178</v>
      </c>
      <c r="B3" s="15" t="s">
        <v>214</v>
      </c>
      <c r="C3" s="15" t="s">
        <v>215</v>
      </c>
      <c r="D3" s="15" t="s">
        <v>179</v>
      </c>
      <c r="E3" s="113" t="s">
        <v>180</v>
      </c>
      <c r="F3" s="15" t="s">
        <v>181</v>
      </c>
      <c r="G3" s="15" t="s">
        <v>182</v>
      </c>
      <c r="H3" s="15" t="s">
        <v>183</v>
      </c>
      <c r="I3" s="15" t="s">
        <v>192</v>
      </c>
    </row>
    <row r="4" spans="1:9" ht="28.5" customHeight="1">
      <c r="A4" s="32" t="s">
        <v>0</v>
      </c>
      <c r="B4" s="32" t="s">
        <v>7</v>
      </c>
      <c r="C4" s="34" t="s">
        <v>12</v>
      </c>
      <c r="D4" s="32" t="s">
        <v>18</v>
      </c>
      <c r="E4" s="114" t="s">
        <v>25</v>
      </c>
      <c r="F4" s="13" t="s">
        <v>30</v>
      </c>
      <c r="G4" s="32" t="s">
        <v>161</v>
      </c>
      <c r="H4" s="13" t="s">
        <v>166</v>
      </c>
      <c r="I4" s="32" t="s">
        <v>193</v>
      </c>
    </row>
    <row r="5" spans="1:9" ht="28.5" customHeight="1">
      <c r="A5" s="13" t="s">
        <v>135</v>
      </c>
      <c r="B5" s="32" t="s">
        <v>8</v>
      </c>
      <c r="C5" s="34" t="s">
        <v>13</v>
      </c>
      <c r="D5" s="32" t="s">
        <v>19</v>
      </c>
      <c r="E5" s="114" t="s">
        <v>26</v>
      </c>
      <c r="F5" s="13" t="s">
        <v>31</v>
      </c>
      <c r="G5" s="32" t="s">
        <v>184</v>
      </c>
      <c r="H5" s="32" t="s">
        <v>167</v>
      </c>
      <c r="I5" s="35" t="s">
        <v>191</v>
      </c>
    </row>
    <row r="6" spans="1:9" ht="28.5" customHeight="1">
      <c r="A6" s="13" t="s">
        <v>1</v>
      </c>
      <c r="B6" s="13" t="s">
        <v>9</v>
      </c>
      <c r="C6" s="34" t="s">
        <v>250</v>
      </c>
      <c r="D6" s="32" t="s">
        <v>20</v>
      </c>
      <c r="E6" s="114" t="s">
        <v>27</v>
      </c>
      <c r="F6" s="13" t="s">
        <v>32</v>
      </c>
      <c r="G6" s="13" t="s">
        <v>185</v>
      </c>
      <c r="H6" s="32" t="s">
        <v>168</v>
      </c>
      <c r="I6" s="32" t="s">
        <v>194</v>
      </c>
    </row>
    <row r="7" spans="1:9" ht="28.5" customHeight="1">
      <c r="A7" s="13" t="s">
        <v>2</v>
      </c>
      <c r="B7" s="32" t="s">
        <v>10</v>
      </c>
      <c r="C7" s="33"/>
      <c r="D7" s="13" t="s">
        <v>21</v>
      </c>
      <c r="E7" s="115" t="s">
        <v>28</v>
      </c>
      <c r="F7" s="12"/>
      <c r="G7" s="13" t="s">
        <v>186</v>
      </c>
      <c r="H7" s="32" t="s">
        <v>169</v>
      </c>
      <c r="I7" s="35" t="s">
        <v>195</v>
      </c>
    </row>
    <row r="8" spans="1:9" ht="28.5" customHeight="1">
      <c r="A8" s="13" t="s">
        <v>3</v>
      </c>
      <c r="B8" s="13" t="s">
        <v>11</v>
      </c>
      <c r="C8" s="33"/>
      <c r="D8" s="13" t="s">
        <v>22</v>
      </c>
      <c r="E8" s="115" t="s">
        <v>29</v>
      </c>
      <c r="F8" s="12"/>
      <c r="G8" s="13" t="s">
        <v>163</v>
      </c>
      <c r="H8" s="13" t="s">
        <v>170</v>
      </c>
    </row>
    <row r="9" spans="1:9" ht="28.5" customHeight="1">
      <c r="A9" s="32" t="s">
        <v>4</v>
      </c>
      <c r="B9" s="13" t="s">
        <v>15</v>
      </c>
      <c r="C9" s="33"/>
      <c r="D9" s="13" t="s">
        <v>23</v>
      </c>
      <c r="E9" s="116"/>
      <c r="F9" s="12"/>
      <c r="G9" s="13" t="s">
        <v>164</v>
      </c>
      <c r="H9" s="13" t="s">
        <v>171</v>
      </c>
    </row>
    <row r="10" spans="1:9" ht="28.5" customHeight="1">
      <c r="A10" s="13" t="s">
        <v>5</v>
      </c>
      <c r="B10" s="13" t="s">
        <v>16</v>
      </c>
      <c r="C10" s="33"/>
      <c r="D10" s="13" t="s">
        <v>24</v>
      </c>
      <c r="E10" s="116"/>
      <c r="F10" s="12"/>
      <c r="G10" s="13" t="s">
        <v>165</v>
      </c>
      <c r="H10" s="13" t="s">
        <v>187</v>
      </c>
    </row>
    <row r="11" spans="1:9" ht="28.5" customHeight="1">
      <c r="A11" s="32" t="s">
        <v>6</v>
      </c>
      <c r="B11" s="13" t="s">
        <v>17</v>
      </c>
      <c r="C11" s="33"/>
      <c r="D11" s="12"/>
      <c r="E11" s="116"/>
      <c r="F11" s="12"/>
      <c r="G11" s="12"/>
      <c r="H11" s="13" t="s">
        <v>172</v>
      </c>
    </row>
    <row r="12" spans="1:9" ht="28.5" customHeight="1">
      <c r="A12" s="12"/>
      <c r="B12" s="33"/>
      <c r="C12" s="33"/>
      <c r="D12" s="12"/>
      <c r="E12" s="116"/>
      <c r="F12" s="12"/>
      <c r="G12" s="12"/>
      <c r="H12" s="13" t="s">
        <v>173</v>
      </c>
    </row>
    <row r="13" spans="1:9" ht="28.5" customHeight="1">
      <c r="A13" s="12"/>
      <c r="B13" s="33"/>
      <c r="C13" s="33"/>
      <c r="D13" s="12"/>
      <c r="E13" s="116"/>
      <c r="F13" s="12"/>
      <c r="G13" s="12"/>
      <c r="H13" s="13" t="s">
        <v>174</v>
      </c>
    </row>
    <row r="14" spans="1:9" ht="28.5" customHeight="1">
      <c r="A14" s="12"/>
      <c r="B14" s="33"/>
      <c r="C14" s="33"/>
      <c r="D14" s="12"/>
      <c r="E14" s="116"/>
      <c r="F14" s="12"/>
      <c r="G14" s="12"/>
      <c r="H14" s="13" t="s">
        <v>175</v>
      </c>
    </row>
    <row r="15" spans="1:9" ht="28.5" customHeight="1">
      <c r="A15" s="12"/>
      <c r="B15" s="12"/>
      <c r="C15" s="12"/>
      <c r="D15" s="12"/>
      <c r="E15" s="116"/>
      <c r="F15" s="12"/>
      <c r="G15" s="12"/>
      <c r="H15" s="13" t="s">
        <v>176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4294-E859-424F-8B2C-0876C8A1DCDB}">
  <dimension ref="A1:BZ122"/>
  <sheetViews>
    <sheetView zoomScale="90" zoomScaleNormal="90" workbookViewId="0">
      <pane xSplit="3" ySplit="2" topLeftCell="D63" activePane="bottomRight" state="frozen"/>
      <selection pane="topRight" activeCell="D1" sqref="D1"/>
      <selection pane="bottomLeft" activeCell="A3" sqref="A3"/>
      <selection pane="bottomRight" activeCell="P2" sqref="P1:Q1048576"/>
    </sheetView>
  </sheetViews>
  <sheetFormatPr baseColWidth="10" defaultColWidth="16.81640625" defaultRowHeight="14.5"/>
  <cols>
    <col min="1" max="1" width="7.54296875" style="22" customWidth="1"/>
    <col min="2" max="2" width="38" style="1" bestFit="1" customWidth="1"/>
    <col min="3" max="3" width="15.54296875" style="43" customWidth="1"/>
    <col min="4" max="9" width="18.453125" style="43" customWidth="1"/>
    <col min="10" max="12" width="18.453125" style="102" customWidth="1"/>
    <col min="13" max="15" width="18.453125" style="43" customWidth="1"/>
    <col min="16" max="17" width="18.453125" style="112" customWidth="1"/>
    <col min="18" max="19" width="18.453125" style="43" customWidth="1"/>
    <col min="20" max="22" width="18.453125" style="102" customWidth="1"/>
    <col min="23" max="24" width="18.453125" style="43" customWidth="1"/>
    <col min="25" max="16384" width="16.81640625" style="43"/>
  </cols>
  <sheetData>
    <row r="1" spans="1:28" s="20" customFormat="1" ht="29.25" customHeight="1">
      <c r="A1" s="19"/>
      <c r="B1" s="19"/>
      <c r="C1" s="21"/>
      <c r="D1" s="118" t="s">
        <v>178</v>
      </c>
      <c r="E1" s="118"/>
      <c r="F1" s="118"/>
      <c r="G1" s="119" t="s">
        <v>197</v>
      </c>
      <c r="H1" s="119"/>
      <c r="I1" s="119"/>
      <c r="J1" s="120" t="s">
        <v>198</v>
      </c>
      <c r="K1" s="120"/>
      <c r="L1" s="120"/>
      <c r="M1" s="121" t="s">
        <v>179</v>
      </c>
      <c r="N1" s="121"/>
      <c r="O1" s="121"/>
      <c r="P1" s="122" t="s">
        <v>180</v>
      </c>
      <c r="Q1" s="122"/>
      <c r="R1" s="123" t="s">
        <v>182</v>
      </c>
      <c r="S1" s="123"/>
      <c r="T1" s="124" t="s">
        <v>183</v>
      </c>
      <c r="U1" s="124"/>
      <c r="V1" s="124"/>
      <c r="W1" s="125" t="s">
        <v>190</v>
      </c>
      <c r="X1" s="125"/>
      <c r="Y1" s="126" t="s">
        <v>192</v>
      </c>
      <c r="Z1" s="126"/>
      <c r="AA1" s="126"/>
      <c r="AB1" s="126"/>
    </row>
    <row r="2" spans="1:28" s="22" customFormat="1" ht="45" customHeight="1">
      <c r="B2" s="23" t="s">
        <v>136</v>
      </c>
      <c r="C2" s="24" t="s">
        <v>140</v>
      </c>
      <c r="D2" s="25" t="s">
        <v>0</v>
      </c>
      <c r="E2" s="26" t="s">
        <v>135</v>
      </c>
      <c r="F2" s="26" t="s">
        <v>1</v>
      </c>
      <c r="G2" s="27" t="s">
        <v>7</v>
      </c>
      <c r="H2" s="27" t="s">
        <v>8</v>
      </c>
      <c r="I2" s="27" t="s">
        <v>10</v>
      </c>
      <c r="J2" s="94" t="s">
        <v>12</v>
      </c>
      <c r="K2" s="94" t="s">
        <v>13</v>
      </c>
      <c r="L2" s="94" t="s">
        <v>250</v>
      </c>
      <c r="M2" s="28" t="s">
        <v>18</v>
      </c>
      <c r="N2" s="28" t="s">
        <v>19</v>
      </c>
      <c r="O2" s="28" t="s">
        <v>20</v>
      </c>
      <c r="P2" s="104" t="s">
        <v>28</v>
      </c>
      <c r="Q2" s="104" t="s">
        <v>29</v>
      </c>
      <c r="R2" s="29" t="s">
        <v>189</v>
      </c>
      <c r="S2" s="29" t="s">
        <v>162</v>
      </c>
      <c r="T2" s="103" t="s">
        <v>167</v>
      </c>
      <c r="U2" s="103" t="s">
        <v>168</v>
      </c>
      <c r="V2" s="103" t="s">
        <v>169</v>
      </c>
      <c r="W2" s="30" t="s">
        <v>141</v>
      </c>
      <c r="X2" s="30" t="s">
        <v>142</v>
      </c>
      <c r="Y2" s="31" t="s">
        <v>199</v>
      </c>
      <c r="Z2" s="31" t="s">
        <v>191</v>
      </c>
      <c r="AA2" s="31" t="s">
        <v>200</v>
      </c>
      <c r="AB2" s="31" t="s">
        <v>201</v>
      </c>
    </row>
    <row r="3" spans="1:28" ht="18" customHeight="1">
      <c r="A3" s="127" t="s">
        <v>33</v>
      </c>
      <c r="B3" s="16" t="s">
        <v>41</v>
      </c>
      <c r="C3" s="42">
        <v>44012</v>
      </c>
      <c r="D3" s="63">
        <v>2.3623449830890602</v>
      </c>
      <c r="E3" s="63">
        <v>1.30574971815107</v>
      </c>
      <c r="F3" s="63">
        <v>0.57542277339346104</v>
      </c>
      <c r="G3" s="63">
        <v>0.11756220699603299</v>
      </c>
      <c r="H3" s="63">
        <v>6.1125135232599999E-2</v>
      </c>
      <c r="I3" s="63">
        <v>5.6617381896862599E-2</v>
      </c>
      <c r="J3" s="95">
        <v>9.9552962810310393E-3</v>
      </c>
      <c r="K3" s="95">
        <v>4.2674639847784697E-2</v>
      </c>
      <c r="L3" s="95">
        <v>1.04404928798052E-2</v>
      </c>
      <c r="M3" s="63">
        <v>0.76671633746552104</v>
      </c>
      <c r="N3" s="63">
        <v>3.2866268007610699</v>
      </c>
      <c r="O3" s="63">
        <v>0.65015214910612396</v>
      </c>
      <c r="P3" s="105">
        <v>0.34768980001253802</v>
      </c>
      <c r="Q3" s="105">
        <v>0.17583462794457999</v>
      </c>
      <c r="R3" s="63">
        <v>0.23296069239091199</v>
      </c>
      <c r="S3" s="63">
        <v>0.54489164086687303</v>
      </c>
      <c r="T3" s="95">
        <v>2.9185417504756699</v>
      </c>
      <c r="U3" s="95">
        <v>3.8720934367111401</v>
      </c>
      <c r="V3" s="95">
        <v>68.390542038216495</v>
      </c>
      <c r="W3" s="63">
        <v>0.16997815688430637</v>
      </c>
      <c r="X3" s="54">
        <v>1.53</v>
      </c>
      <c r="Y3" s="64">
        <f>74/76.94</f>
        <v>0.96178840655055886</v>
      </c>
      <c r="Z3" s="55">
        <v>2.5</v>
      </c>
      <c r="AA3" s="65">
        <v>0.67412044669443938</v>
      </c>
      <c r="AB3" s="66">
        <v>0.7529789385080079</v>
      </c>
    </row>
    <row r="4" spans="1:28" ht="18" customHeight="1">
      <c r="A4" s="128"/>
      <c r="B4" s="17" t="s">
        <v>42</v>
      </c>
      <c r="C4" s="44">
        <v>44012</v>
      </c>
      <c r="D4" s="67">
        <v>2.8107653490328</v>
      </c>
      <c r="E4" s="67">
        <v>1.83894028595458</v>
      </c>
      <c r="F4" s="67">
        <v>1.6013456686291001</v>
      </c>
      <c r="G4" s="67">
        <v>0.55264270613107802</v>
      </c>
      <c r="H4" s="67">
        <v>0.180972515856236</v>
      </c>
      <c r="I4" s="67">
        <v>0.145454545454545</v>
      </c>
      <c r="J4" s="96">
        <v>8.6247962893318299E-3</v>
      </c>
      <c r="K4" s="96">
        <v>1.56335211779676E-2</v>
      </c>
      <c r="L4" s="96">
        <v>1.46639293998453E-2</v>
      </c>
      <c r="M4" s="67">
        <v>0.44831390246960001</v>
      </c>
      <c r="N4" s="67">
        <v>0.81262497727685801</v>
      </c>
      <c r="O4" s="67">
        <v>0.21503995433789899</v>
      </c>
      <c r="P4" s="106">
        <v>9.5842113794780304E-2</v>
      </c>
      <c r="Q4" s="106">
        <v>5.92954744891563E-2</v>
      </c>
      <c r="R4" s="67">
        <v>0.28076109936575</v>
      </c>
      <c r="S4" s="67">
        <v>0.57831325301204795</v>
      </c>
      <c r="T4" s="96">
        <v>2.3961543355753498</v>
      </c>
      <c r="U4" s="96">
        <v>22.2938604651162</v>
      </c>
      <c r="V4" s="96">
        <v>153.270290697674</v>
      </c>
      <c r="W4" s="67">
        <v>0.10420898784410811</v>
      </c>
      <c r="X4" s="57">
        <v>0.36</v>
      </c>
      <c r="Y4" s="49">
        <f>77.15/67.29</f>
        <v>1.146529945014118</v>
      </c>
      <c r="Z4" s="58">
        <v>2</v>
      </c>
      <c r="AA4" s="49">
        <v>0.55832106038291596</v>
      </c>
      <c r="AB4" s="68">
        <v>0.61402656300615477</v>
      </c>
    </row>
    <row r="5" spans="1:28" ht="18" customHeight="1">
      <c r="A5" s="128"/>
      <c r="B5" s="17" t="s">
        <v>43</v>
      </c>
      <c r="C5" s="44">
        <v>44012</v>
      </c>
      <c r="D5" s="67">
        <v>1.87752928647497</v>
      </c>
      <c r="E5" s="67">
        <v>1.0809371671991399</v>
      </c>
      <c r="F5" s="67">
        <v>0.37486687965921101</v>
      </c>
      <c r="G5" s="67">
        <v>0.19282744282744199</v>
      </c>
      <c r="H5" s="67">
        <v>2.8066528066527999E-2</v>
      </c>
      <c r="I5" s="67">
        <v>1.4033264033263999E-2</v>
      </c>
      <c r="J5" s="96">
        <v>1.69035246979277E-3</v>
      </c>
      <c r="K5" s="96">
        <v>4.4843049327354199E-3</v>
      </c>
      <c r="L5" s="96">
        <v>-7.0947144377438794E-5</v>
      </c>
      <c r="M5" s="67">
        <v>0.623051399236211</v>
      </c>
      <c r="N5" s="67">
        <v>1.6528815811327</v>
      </c>
      <c r="O5" s="67">
        <v>0.47424030736989098</v>
      </c>
      <c r="P5" s="106">
        <v>0.34004948745139602</v>
      </c>
      <c r="Q5" s="106">
        <v>0.120453264884492</v>
      </c>
      <c r="R5" s="67">
        <v>0.22661122661122601</v>
      </c>
      <c r="S5" s="67">
        <v>0.77752293577981602</v>
      </c>
      <c r="T5" s="96">
        <v>1.6939601395117001</v>
      </c>
      <c r="U5" s="96">
        <v>5.3011091476091403</v>
      </c>
      <c r="V5" s="96">
        <v>377.75311111111102</v>
      </c>
      <c r="W5" s="67">
        <v>0.12586949631233257</v>
      </c>
      <c r="X5" s="57">
        <v>1.63</v>
      </c>
      <c r="Y5" s="49">
        <f>81.89/82.75</f>
        <v>0.98960725075528699</v>
      </c>
      <c r="Z5" s="58">
        <v>2.2000000000000002</v>
      </c>
      <c r="AA5" s="49">
        <v>0.83003572514813528</v>
      </c>
      <c r="AB5" s="68">
        <v>0.87498432591955411</v>
      </c>
    </row>
    <row r="6" spans="1:28" ht="18" customHeight="1">
      <c r="A6" s="128"/>
      <c r="B6" s="17" t="s">
        <v>44</v>
      </c>
      <c r="C6" s="44">
        <v>44012</v>
      </c>
      <c r="D6" s="69">
        <v>3.4760710150521001</v>
      </c>
      <c r="E6" s="69">
        <v>3.0284832111153901</v>
      </c>
      <c r="F6" s="69">
        <v>1.51346970281744</v>
      </c>
      <c r="G6" s="69">
        <v>0.34877977919814002</v>
      </c>
      <c r="H6" s="69">
        <v>0.26108851442959502</v>
      </c>
      <c r="I6" s="69">
        <v>0.21620182064690999</v>
      </c>
      <c r="J6" s="97">
        <v>1.8017036490047201E-2</v>
      </c>
      <c r="K6" s="97">
        <v>3.8295609513435601E-2</v>
      </c>
      <c r="L6" s="97">
        <v>2.5523746006281701E-2</v>
      </c>
      <c r="M6" s="69">
        <v>0.52952736047389004</v>
      </c>
      <c r="N6" s="69">
        <v>1.1255221153928601</v>
      </c>
      <c r="O6" s="69">
        <v>0.386936655081212</v>
      </c>
      <c r="P6" s="107">
        <v>0.174707509580488</v>
      </c>
      <c r="Q6" s="107">
        <v>8.3334342125969907E-2</v>
      </c>
      <c r="R6" s="69">
        <v>0.37512105365097798</v>
      </c>
      <c r="S6" s="69">
        <v>-0.43875048405834499</v>
      </c>
      <c r="T6" s="97">
        <v>5.4327227192026903</v>
      </c>
      <c r="U6" s="97">
        <v>30.670997482084001</v>
      </c>
      <c r="V6" s="97">
        <v>141.86280851063799</v>
      </c>
      <c r="W6" s="69">
        <v>0.10357729342679817</v>
      </c>
      <c r="X6" s="59">
        <v>0.93</v>
      </c>
      <c r="Y6" s="49">
        <f>300.41/302.46</f>
        <v>0.99322224426370442</v>
      </c>
      <c r="Z6" s="58">
        <v>2.2999999999999998</v>
      </c>
      <c r="AA6" s="49">
        <v>0.94316627306877554</v>
      </c>
      <c r="AB6" s="68">
        <v>1.0552399248899593</v>
      </c>
    </row>
    <row r="7" spans="1:28" ht="18" customHeight="1">
      <c r="A7" s="128"/>
      <c r="B7" s="17" t="s">
        <v>45</v>
      </c>
      <c r="C7" s="44">
        <v>44012</v>
      </c>
      <c r="D7" s="67">
        <v>1.4963795255929999</v>
      </c>
      <c r="E7" s="67">
        <v>0.92309612983770195</v>
      </c>
      <c r="F7" s="67">
        <v>0.466541822721598</v>
      </c>
      <c r="G7" s="67">
        <v>0.31835128417564201</v>
      </c>
      <c r="H7" s="67">
        <v>-0.49710024855012402</v>
      </c>
      <c r="I7" s="67">
        <v>-0.51325600662800297</v>
      </c>
      <c r="J7" s="96">
        <v>-3.71219271043998E-2</v>
      </c>
      <c r="K7" s="96">
        <v>-6.6963923794081795E-2</v>
      </c>
      <c r="L7" s="96">
        <v>-4.2677425395366203E-2</v>
      </c>
      <c r="M7" s="67">
        <v>0.44564289245427102</v>
      </c>
      <c r="N7" s="67">
        <v>0.80389136603161704</v>
      </c>
      <c r="O7" s="67">
        <v>0.29665671982209701</v>
      </c>
      <c r="P7" s="106">
        <v>0.46046733428707598</v>
      </c>
      <c r="Q7" s="106">
        <v>7.2326337393075896E-2</v>
      </c>
      <c r="R7" s="67">
        <v>0.166114333057166</v>
      </c>
      <c r="S7" s="67">
        <v>0.703241895261845</v>
      </c>
      <c r="T7" s="96">
        <v>1.06677389541953</v>
      </c>
      <c r="U7" s="96">
        <v>8.1764639602319793</v>
      </c>
      <c r="V7" s="96">
        <v>-15.9305762711864</v>
      </c>
      <c r="W7" s="67">
        <v>0.12661825122896211</v>
      </c>
      <c r="X7" s="57">
        <v>1.48</v>
      </c>
      <c r="Y7" s="49">
        <f>64.1/60.17</f>
        <v>1.0653149410004985</v>
      </c>
      <c r="Z7" s="58">
        <v>1.9</v>
      </c>
      <c r="AA7" s="49">
        <v>0.70073860458981807</v>
      </c>
      <c r="AB7" s="68">
        <v>0.70073860458981807</v>
      </c>
    </row>
    <row r="8" spans="1:28" ht="18" customHeight="1">
      <c r="A8" s="128"/>
      <c r="B8" s="17" t="s">
        <v>46</v>
      </c>
      <c r="C8" s="44">
        <v>44012</v>
      </c>
      <c r="D8" s="67">
        <v>1.35212074894917</v>
      </c>
      <c r="E8" s="67">
        <v>0.94956056553305301</v>
      </c>
      <c r="F8" s="67">
        <v>0.43026366068016803</v>
      </c>
      <c r="G8" s="67">
        <v>0.43515754560530601</v>
      </c>
      <c r="H8" s="67">
        <v>5.5721393034825803E-2</v>
      </c>
      <c r="I8" s="67">
        <v>3.3830845771144202E-2</v>
      </c>
      <c r="J8" s="96">
        <v>5.6136488717666404E-3</v>
      </c>
      <c r="K8" s="96">
        <v>2.1109271523178801E-2</v>
      </c>
      <c r="L8" s="96">
        <v>9.74025974025974E-3</v>
      </c>
      <c r="M8" s="67">
        <v>0.734067143643368</v>
      </c>
      <c r="N8" s="67">
        <v>2.7603476821192001</v>
      </c>
      <c r="O8" s="67">
        <v>0.488406564319745</v>
      </c>
      <c r="P8" s="106">
        <v>0.81685180167976101</v>
      </c>
      <c r="Q8" s="106">
        <v>0.16593285635663099</v>
      </c>
      <c r="R8" s="67">
        <v>0.15953565505804301</v>
      </c>
      <c r="S8" s="67">
        <v>0.88565488565488504</v>
      </c>
      <c r="T8" s="96">
        <v>5.2946494867549596</v>
      </c>
      <c r="U8" s="96">
        <v>8.4854880000000001</v>
      </c>
      <c r="V8" s="96">
        <v>250.82104235294099</v>
      </c>
      <c r="W8" s="67">
        <v>0.10466980199298621</v>
      </c>
      <c r="X8" s="57">
        <v>1.26</v>
      </c>
      <c r="Y8" s="49">
        <f>126.35/129.04</f>
        <v>0.97915375077495348</v>
      </c>
      <c r="Z8" s="58">
        <v>2.2999999999999998</v>
      </c>
      <c r="AA8" s="49">
        <v>0.7929126941130642</v>
      </c>
      <c r="AB8" s="68">
        <v>0.89404029909905491</v>
      </c>
    </row>
    <row r="9" spans="1:28" ht="18" customHeight="1">
      <c r="A9" s="128"/>
      <c r="B9" s="17" t="s">
        <v>47</v>
      </c>
      <c r="C9" s="44">
        <v>44012</v>
      </c>
      <c r="D9" s="67">
        <v>1.59834507435983</v>
      </c>
      <c r="E9" s="67">
        <v>1.00082000820008</v>
      </c>
      <c r="F9" s="67">
        <v>0.12773491371277301</v>
      </c>
      <c r="G9" s="67">
        <v>0.45243659655500701</v>
      </c>
      <c r="H9" s="67">
        <v>0.23188782134510499</v>
      </c>
      <c r="I9" s="67">
        <v>0.15961222193369601</v>
      </c>
      <c r="J9" s="96">
        <v>1.84516245234497E-2</v>
      </c>
      <c r="K9" s="96">
        <v>6.5339097158245305E-2</v>
      </c>
      <c r="L9" s="96">
        <v>3.0776385621272599E-2</v>
      </c>
      <c r="M9" s="67">
        <v>0.71760208931626901</v>
      </c>
      <c r="N9" s="67">
        <v>2.5411026858479202</v>
      </c>
      <c r="O9" s="67">
        <v>0.51754790843974896</v>
      </c>
      <c r="P9" s="106">
        <v>1.3064570846997601</v>
      </c>
      <c r="Q9" s="106">
        <v>0.115602829782763</v>
      </c>
      <c r="R9" s="67">
        <v>0.20306413918462701</v>
      </c>
      <c r="S9" s="67">
        <v>0.916027280477408</v>
      </c>
      <c r="T9" s="96">
        <v>4.8726788108567698</v>
      </c>
      <c r="U9" s="96">
        <v>11.9031196572318</v>
      </c>
      <c r="V9" s="96">
        <v>74.575239370932707</v>
      </c>
      <c r="W9" s="67">
        <v>0.130247839695494</v>
      </c>
      <c r="X9" s="57">
        <v>1.1599999999999999</v>
      </c>
      <c r="Y9" s="49">
        <f>122.95/110.67</f>
        <v>1.1109605132375531</v>
      </c>
      <c r="Z9" s="58">
        <v>1.9</v>
      </c>
      <c r="AA9" s="49">
        <v>0.91993722485975404</v>
      </c>
      <c r="AB9" s="68">
        <v>1.1715865479429206</v>
      </c>
    </row>
    <row r="10" spans="1:28" ht="18" customHeight="1">
      <c r="A10" s="128"/>
      <c r="B10" s="17" t="s">
        <v>48</v>
      </c>
      <c r="C10" s="44">
        <v>44012</v>
      </c>
      <c r="D10" s="67">
        <v>1.61346013486739</v>
      </c>
      <c r="E10" s="67">
        <v>0.93699056097150601</v>
      </c>
      <c r="F10" s="67">
        <v>0.51850678806280603</v>
      </c>
      <c r="G10" s="67">
        <v>0.30542412855719903</v>
      </c>
      <c r="H10" s="67">
        <v>0.14698010206151699</v>
      </c>
      <c r="I10" s="67">
        <v>0.112066110943146</v>
      </c>
      <c r="J10" s="96">
        <v>8.41906292793306E-3</v>
      </c>
      <c r="K10" s="96">
        <v>2.12758344448663E-2</v>
      </c>
      <c r="L10" s="96">
        <v>1.00663470275274E-2</v>
      </c>
      <c r="M10" s="67">
        <v>0.60428988344734302</v>
      </c>
      <c r="N10" s="67">
        <v>1.5271024372886599</v>
      </c>
      <c r="O10" s="67">
        <v>0.43766082041308901</v>
      </c>
      <c r="P10" s="106">
        <v>0.14491024959948301</v>
      </c>
      <c r="Q10" s="106">
        <v>7.5125859700835296E-2</v>
      </c>
      <c r="R10" s="67">
        <v>6.91879709285661E-2</v>
      </c>
      <c r="S10" s="67">
        <v>-2.8677714091141202</v>
      </c>
      <c r="T10" s="96">
        <v>2.1971590310480398</v>
      </c>
      <c r="U10" s="96">
        <v>11.573086281115399</v>
      </c>
      <c r="V10" s="96">
        <v>103.270169578622</v>
      </c>
      <c r="W10" s="67">
        <v>0.14704852888579298</v>
      </c>
      <c r="X10" s="57">
        <v>1.41</v>
      </c>
      <c r="Y10" s="49">
        <f>79.71/97.8</f>
        <v>0.81503067484662572</v>
      </c>
      <c r="Z10" s="58">
        <v>2.9</v>
      </c>
      <c r="AA10" s="49">
        <v>0.81868307324107892</v>
      </c>
      <c r="AB10" s="68">
        <v>1.0978244960095409</v>
      </c>
    </row>
    <row r="11" spans="1:28" ht="18" customHeight="1">
      <c r="A11" s="128"/>
      <c r="B11" s="17" t="s">
        <v>49</v>
      </c>
      <c r="C11" s="44">
        <v>44012</v>
      </c>
      <c r="D11" s="67">
        <v>1.53132708436112</v>
      </c>
      <c r="E11" s="67">
        <v>1.03058707449432</v>
      </c>
      <c r="F11" s="67">
        <v>0.61864824864331502</v>
      </c>
      <c r="G11" s="67">
        <v>0.1299117882919</v>
      </c>
      <c r="H11" s="67">
        <v>-5.5332798716920602E-2</v>
      </c>
      <c r="I11" s="67">
        <v>-4.9719326383319898E-2</v>
      </c>
      <c r="J11" s="96">
        <v>-7.6298301747477204E-3</v>
      </c>
      <c r="K11" s="96">
        <v>-1.9651347068145801E-2</v>
      </c>
      <c r="L11" s="96">
        <v>-1.26250204951631E-2</v>
      </c>
      <c r="M11" s="67">
        <v>0.61174009352695002</v>
      </c>
      <c r="N11" s="67">
        <v>1.5755942947702</v>
      </c>
      <c r="O11" s="67">
        <v>0.32614267407090902</v>
      </c>
      <c r="P11" s="106">
        <v>0.433588317107093</v>
      </c>
      <c r="Q11" s="106">
        <v>0.15345803593403801</v>
      </c>
      <c r="R11" s="67">
        <v>6.4153969526864404E-2</v>
      </c>
      <c r="S11" s="67">
        <v>0.3125</v>
      </c>
      <c r="T11" s="96">
        <v>1.3000947702060199</v>
      </c>
      <c r="U11" s="96">
        <v>3.2893336006415401</v>
      </c>
      <c r="V11" s="96">
        <v>-66.158048387096699</v>
      </c>
      <c r="W11" s="67">
        <v>0.14557858622134276</v>
      </c>
      <c r="X11" s="57">
        <v>2.09</v>
      </c>
      <c r="Y11" s="49">
        <f>23.61/22.85</f>
        <v>1.0332603938730853</v>
      </c>
      <c r="Z11" s="58">
        <v>2.2999999999999998</v>
      </c>
      <c r="AA11" s="49">
        <v>0.72606056565656574</v>
      </c>
      <c r="AB11" s="68">
        <v>0.85693847672572609</v>
      </c>
    </row>
    <row r="12" spans="1:28" ht="18" customHeight="1">
      <c r="A12" s="129"/>
      <c r="B12" s="18" t="s">
        <v>50</v>
      </c>
      <c r="C12" s="46">
        <v>44012</v>
      </c>
      <c r="D12" s="70">
        <v>1.9543797394750799</v>
      </c>
      <c r="E12" s="70">
        <v>1.4561987544632999</v>
      </c>
      <c r="F12" s="70">
        <v>0.78629678584528095</v>
      </c>
      <c r="G12" s="70">
        <v>0.29980832845018202</v>
      </c>
      <c r="H12" s="70">
        <v>0.22599550120031001</v>
      </c>
      <c r="I12" s="70">
        <v>0.158717653063153</v>
      </c>
      <c r="J12" s="98">
        <v>1.8415745481687201E-2</v>
      </c>
      <c r="K12" s="98">
        <v>3.6417505370695498E-2</v>
      </c>
      <c r="L12" s="98">
        <v>2.6284715938021001E-2</v>
      </c>
      <c r="M12" s="70">
        <v>0.49431611819007099</v>
      </c>
      <c r="N12" s="70">
        <v>0.97752001986068704</v>
      </c>
      <c r="O12" s="70">
        <v>0.32581428541519702</v>
      </c>
      <c r="P12" s="108">
        <v>0.274984884485868</v>
      </c>
      <c r="Q12" s="108">
        <v>0.116028337908699</v>
      </c>
      <c r="R12" s="70">
        <v>0.259430278056064</v>
      </c>
      <c r="S12" s="70">
        <v>0.76539421070425095</v>
      </c>
      <c r="T12" s="98">
        <v>2.7566161116355201</v>
      </c>
      <c r="U12" s="98">
        <v>12.014102426327399</v>
      </c>
      <c r="V12" s="98">
        <v>75.694808954534196</v>
      </c>
      <c r="W12" s="70">
        <v>0.12458912434970833</v>
      </c>
      <c r="X12" s="60">
        <v>0.82</v>
      </c>
      <c r="Y12" s="71">
        <f>138.95/133.29</f>
        <v>1.0424638007352389</v>
      </c>
      <c r="Z12" s="61">
        <v>2.1</v>
      </c>
      <c r="AA12" s="71">
        <v>0.76408126777737995</v>
      </c>
      <c r="AB12" s="72">
        <v>0.8424841990576758</v>
      </c>
    </row>
    <row r="13" spans="1:28" ht="18" customHeight="1">
      <c r="A13" s="127" t="s">
        <v>35</v>
      </c>
      <c r="B13" s="16" t="s">
        <v>81</v>
      </c>
      <c r="C13" s="42">
        <v>44009</v>
      </c>
      <c r="D13" s="63">
        <v>1.09018633540372</v>
      </c>
      <c r="E13" s="63">
        <v>0.60335403726708003</v>
      </c>
      <c r="F13" s="63">
        <v>0.349316770186335</v>
      </c>
      <c r="G13" s="63">
        <v>0.36853188929001202</v>
      </c>
      <c r="H13" s="63">
        <v>-0.20141395908543899</v>
      </c>
      <c r="I13" s="63">
        <v>-0.24834536702767701</v>
      </c>
      <c r="J13" s="95">
        <v>-1.67944988098386E-2</v>
      </c>
      <c r="K13" s="95">
        <v>-3.3666394779771597E-2</v>
      </c>
      <c r="L13" s="95">
        <v>-1.8868551675234799E-2</v>
      </c>
      <c r="M13" s="63">
        <v>0.50114947205663896</v>
      </c>
      <c r="N13" s="63">
        <v>1.0046084828711199</v>
      </c>
      <c r="O13" s="63">
        <v>0.36424802623902902</v>
      </c>
      <c r="P13" s="105">
        <v>0.98096502877379299</v>
      </c>
      <c r="Q13" s="105">
        <v>6.7625577279108007E-2</v>
      </c>
      <c r="R13" s="63">
        <v>0.30144404332129898</v>
      </c>
      <c r="S13" s="63">
        <v>0.93662674650698596</v>
      </c>
      <c r="T13" s="95">
        <v>0.85902532422512201</v>
      </c>
      <c r="U13" s="95">
        <v>6.3367331377858003</v>
      </c>
      <c r="V13" s="95">
        <v>-25.5158097516656</v>
      </c>
      <c r="W13" s="63">
        <v>0.11573947289410598</v>
      </c>
      <c r="X13" s="54">
        <v>1.01</v>
      </c>
      <c r="Y13" s="64">
        <f>36.4/31.36</f>
        <v>1.1607142857142856</v>
      </c>
      <c r="Z13" s="55">
        <v>2.7</v>
      </c>
      <c r="AA13" s="64">
        <v>0.90962611393505688</v>
      </c>
      <c r="AB13" s="73">
        <v>0.99548965865046202</v>
      </c>
    </row>
    <row r="14" spans="1:28" ht="18" customHeight="1">
      <c r="A14" s="128"/>
      <c r="B14" s="17" t="s">
        <v>74</v>
      </c>
      <c r="C14" s="44">
        <v>44009</v>
      </c>
      <c r="D14" s="67">
        <v>1.8017786098759601</v>
      </c>
      <c r="E14" s="67">
        <v>0.80248069272174105</v>
      </c>
      <c r="F14" s="67">
        <v>0.31944769482798901</v>
      </c>
      <c r="G14" s="67">
        <v>0.131011774096986</v>
      </c>
      <c r="H14" s="67">
        <v>7.7329874276591395E-2</v>
      </c>
      <c r="I14" s="67">
        <v>5.2584314508082201E-2</v>
      </c>
      <c r="J14" s="96">
        <v>1.52497250998321E-2</v>
      </c>
      <c r="K14" s="96">
        <v>3.5469107551487397E-2</v>
      </c>
      <c r="L14" s="96">
        <v>2.20241043420835E-2</v>
      </c>
      <c r="M14" s="67">
        <v>0.57005613750795703</v>
      </c>
      <c r="N14" s="67">
        <v>1.32588504509355</v>
      </c>
      <c r="O14" s="67">
        <v>0.43153384091517699</v>
      </c>
      <c r="P14" s="106">
        <v>1.2441961514587201</v>
      </c>
      <c r="Q14" s="106">
        <v>0.29000520863475898</v>
      </c>
      <c r="R14" s="67">
        <v>0.144482139293554</v>
      </c>
      <c r="S14" s="67">
        <v>0.80455801104972302</v>
      </c>
      <c r="T14" s="96">
        <v>1.47595279310808</v>
      </c>
      <c r="U14" s="96">
        <v>2.1881567152265</v>
      </c>
      <c r="V14" s="96">
        <v>41.6123464895635</v>
      </c>
      <c r="W14" s="67">
        <v>0.12176045933207567</v>
      </c>
      <c r="X14" s="57">
        <v>0.62</v>
      </c>
      <c r="Y14" s="49">
        <f>73.15/65.21</f>
        <v>1.121760466186168</v>
      </c>
      <c r="Z14" s="58">
        <v>2.2999999999999998</v>
      </c>
      <c r="AA14" s="49">
        <v>0.6235822771622328</v>
      </c>
      <c r="AB14" s="68">
        <v>0.72182314148682536</v>
      </c>
    </row>
    <row r="15" spans="1:28" ht="18" customHeight="1">
      <c r="A15" s="128"/>
      <c r="B15" s="17" t="s">
        <v>137</v>
      </c>
      <c r="C15" s="44">
        <v>44012</v>
      </c>
      <c r="D15" s="67">
        <v>0.54990026824403304</v>
      </c>
      <c r="E15" s="67">
        <v>0.28970355595295399</v>
      </c>
      <c r="F15" s="67">
        <v>0.110186395212875</v>
      </c>
      <c r="G15" s="67">
        <v>0.39434951784807898</v>
      </c>
      <c r="H15" s="67">
        <v>0.12062256809338499</v>
      </c>
      <c r="I15" s="67">
        <v>9.2031805109118597E-2</v>
      </c>
      <c r="J15" s="96">
        <v>8.4743122410194105E-3</v>
      </c>
      <c r="K15" s="96">
        <v>2.0908601737258802E-2</v>
      </c>
      <c r="L15" s="96">
        <v>1.3271573859631401E-2</v>
      </c>
      <c r="M15" s="67">
        <v>0.59469732373742001</v>
      </c>
      <c r="N15" s="67">
        <v>1.4672918748558601</v>
      </c>
      <c r="O15" s="67">
        <v>0.38084812717148098</v>
      </c>
      <c r="P15" s="106">
        <v>0.65604883462818997</v>
      </c>
      <c r="Q15" s="106">
        <v>9.2080256721811998E-2</v>
      </c>
      <c r="R15" s="67">
        <v>0.215530367112163</v>
      </c>
      <c r="S15" s="67">
        <v>0.81868131868131799</v>
      </c>
      <c r="T15" s="96">
        <v>3.0845195633791902</v>
      </c>
      <c r="U15" s="96">
        <v>13.5768956183386</v>
      </c>
      <c r="V15" s="96">
        <v>147.52395220588201</v>
      </c>
      <c r="W15" s="67">
        <v>8.4121502527391798E-2</v>
      </c>
      <c r="X15" s="57">
        <v>0.63</v>
      </c>
      <c r="Y15" s="49">
        <f>63.1/57.97</f>
        <v>1.0884940486458514</v>
      </c>
      <c r="Z15" s="58">
        <v>1.8</v>
      </c>
      <c r="AA15" s="49">
        <v>0.85673594168900802</v>
      </c>
      <c r="AB15" s="68">
        <v>0.93456410043070914</v>
      </c>
    </row>
    <row r="16" spans="1:28" ht="18" customHeight="1">
      <c r="A16" s="128"/>
      <c r="B16" s="17" t="s">
        <v>75</v>
      </c>
      <c r="C16" s="44">
        <v>44038</v>
      </c>
      <c r="D16" s="67">
        <v>1.09397348033373</v>
      </c>
      <c r="E16" s="67">
        <v>0.88144368295589903</v>
      </c>
      <c r="F16" s="67">
        <v>0.37384535160905802</v>
      </c>
      <c r="G16" s="67">
        <v>0.57860139860139803</v>
      </c>
      <c r="H16" s="67">
        <v>0.26909090909090899</v>
      </c>
      <c r="I16" s="67">
        <v>0.24881118881118799</v>
      </c>
      <c r="J16" s="96">
        <v>1.8787821183030701E-2</v>
      </c>
      <c r="K16" s="96">
        <v>0.101750171585449</v>
      </c>
      <c r="L16" s="96">
        <v>3.2384546218363501E-2</v>
      </c>
      <c r="M16" s="67">
        <v>0.81535342014383905</v>
      </c>
      <c r="N16" s="67">
        <v>4.4157515442690398</v>
      </c>
      <c r="O16" s="67">
        <v>0.68333544636226895</v>
      </c>
      <c r="P16" s="106">
        <v>0.66853669939223903</v>
      </c>
      <c r="Q16" s="106">
        <v>7.5510354951472694E-2</v>
      </c>
      <c r="R16" s="67">
        <v>0.311888111888111</v>
      </c>
      <c r="S16" s="67">
        <v>0.90627802690582904</v>
      </c>
      <c r="T16" s="96">
        <v>11.969963395103999</v>
      </c>
      <c r="U16" s="96">
        <v>29.270327272727201</v>
      </c>
      <c r="V16" s="96">
        <v>117.64071950534</v>
      </c>
      <c r="W16" s="67">
        <v>8.325042934000805E-2</v>
      </c>
      <c r="X16" s="57">
        <v>0.55000000000000004</v>
      </c>
      <c r="Y16" s="49">
        <f>53.9/50.79</f>
        <v>1.0612325260878126</v>
      </c>
      <c r="Z16" s="58">
        <v>2</v>
      </c>
      <c r="AA16" s="49">
        <v>0.72459669508403968</v>
      </c>
      <c r="AB16" s="68">
        <v>0.85297569095631598</v>
      </c>
    </row>
    <row r="17" spans="1:78" ht="18" customHeight="1">
      <c r="A17" s="128"/>
      <c r="B17" s="17" t="s">
        <v>76</v>
      </c>
      <c r="C17" s="44">
        <v>44012</v>
      </c>
      <c r="D17" s="67">
        <v>0.84870815138282296</v>
      </c>
      <c r="E17" s="67">
        <v>0.61738840368753001</v>
      </c>
      <c r="F17" s="67">
        <v>0.490690198932557</v>
      </c>
      <c r="G17" s="67">
        <v>0.51073567634760897</v>
      </c>
      <c r="H17" s="67">
        <v>0.19646287716126101</v>
      </c>
      <c r="I17" s="67">
        <v>0.15820996722793501</v>
      </c>
      <c r="J17" s="96">
        <v>2.3198011599005801E-2</v>
      </c>
      <c r="K17" s="96">
        <v>6.0187872143762998E-2</v>
      </c>
      <c r="L17" s="96">
        <v>3.9453285303907702E-2</v>
      </c>
      <c r="M17" s="67">
        <v>0.61457332228666095</v>
      </c>
      <c r="N17" s="67">
        <v>1.5945272027686399</v>
      </c>
      <c r="O17" s="67">
        <v>0.33596448656827199</v>
      </c>
      <c r="P17" s="106">
        <v>0.82155788691857701</v>
      </c>
      <c r="Q17" s="106">
        <v>0.146628003314001</v>
      </c>
      <c r="R17" s="67">
        <v>0.27155610803480601</v>
      </c>
      <c r="S17" s="67">
        <v>0.863087806908031</v>
      </c>
      <c r="T17" s="96">
        <v>7.3796450205283604</v>
      </c>
      <c r="U17" s="96">
        <v>19.3981504124759</v>
      </c>
      <c r="V17" s="96">
        <v>122.61016642857101</v>
      </c>
      <c r="W17" s="67">
        <v>8.313147361094303E-2</v>
      </c>
      <c r="X17" s="57">
        <v>0.41</v>
      </c>
      <c r="Y17" s="49">
        <f>138.79/137.7</f>
        <v>1.0079157588961511</v>
      </c>
      <c r="Z17" s="58">
        <v>2.2000000000000002</v>
      </c>
      <c r="AA17" s="49">
        <v>0.94045934356189498</v>
      </c>
      <c r="AB17" s="68">
        <v>1.0821794023383002</v>
      </c>
    </row>
    <row r="18" spans="1:78" ht="18" customHeight="1">
      <c r="A18" s="128"/>
      <c r="B18" s="17" t="s">
        <v>77</v>
      </c>
      <c r="C18" s="44">
        <v>43995</v>
      </c>
      <c r="D18" s="67">
        <v>0.97322365383808196</v>
      </c>
      <c r="E18" s="67">
        <v>0.75137449112351495</v>
      </c>
      <c r="F18" s="67">
        <v>0.37465900029378402</v>
      </c>
      <c r="G18" s="67">
        <v>0.555534650360614</v>
      </c>
      <c r="H18" s="67">
        <v>0.145374725619316</v>
      </c>
      <c r="I18" s="67">
        <v>0.103229852618375</v>
      </c>
      <c r="J18" s="96">
        <v>1.8385925719072799E-2</v>
      </c>
      <c r="K18" s="96">
        <v>0.13177487791209599</v>
      </c>
      <c r="L18" s="96">
        <v>3.2999482480440802E-2</v>
      </c>
      <c r="M18" s="67">
        <v>0.86047472772968403</v>
      </c>
      <c r="N18" s="67">
        <v>6.1671603554559198</v>
      </c>
      <c r="O18" s="67">
        <v>0.75441390429003896</v>
      </c>
      <c r="P18" s="106">
        <v>0.83103142752905601</v>
      </c>
      <c r="Q18" s="106">
        <v>0.178106674113376</v>
      </c>
      <c r="R18" s="67">
        <v>0.13866415804327301</v>
      </c>
      <c r="S18" s="67">
        <v>0.68159203980099503</v>
      </c>
      <c r="T18" s="96">
        <v>14.937786598350799</v>
      </c>
      <c r="U18" s="96">
        <v>11.7019687927249</v>
      </c>
      <c r="V18" s="96">
        <v>113.35837934386301</v>
      </c>
      <c r="W18" s="67">
        <v>9.1127486294585419E-2</v>
      </c>
      <c r="X18" s="57">
        <v>0.57999999999999996</v>
      </c>
      <c r="Y18" s="49">
        <f>146.86/134.98</f>
        <v>1.0880130389687364</v>
      </c>
      <c r="Z18" s="58">
        <v>2.2000000000000002</v>
      </c>
      <c r="AA18" s="49">
        <v>0.87761069196507613</v>
      </c>
      <c r="AB18" s="68">
        <v>0.97189786700513425</v>
      </c>
    </row>
    <row r="19" spans="1:78" ht="18" customHeight="1">
      <c r="A19" s="128"/>
      <c r="B19" s="17" t="s">
        <v>78</v>
      </c>
      <c r="C19" s="44">
        <v>44043</v>
      </c>
      <c r="D19" s="67">
        <v>0.79305001403174802</v>
      </c>
      <c r="E19" s="67">
        <v>0.26864087265273201</v>
      </c>
      <c r="F19" s="67">
        <v>0.206278902351232</v>
      </c>
      <c r="G19" s="67">
        <v>0.25448301897750802</v>
      </c>
      <c r="H19" s="67">
        <v>4.3988035602793601E-2</v>
      </c>
      <c r="I19" s="67">
        <v>4.7015434653192197E-2</v>
      </c>
      <c r="J19" s="96">
        <v>2.7280922732136299E-2</v>
      </c>
      <c r="K19" s="96">
        <v>8.5991236223609005E-2</v>
      </c>
      <c r="L19" s="96">
        <v>5.56281164548817E-2</v>
      </c>
      <c r="M19" s="67">
        <v>0.68274763882686895</v>
      </c>
      <c r="N19" s="67">
        <v>2.15206479883149</v>
      </c>
      <c r="O19" s="67">
        <v>0.37730482379983699</v>
      </c>
      <c r="P19" s="106">
        <v>1.1208195680830599</v>
      </c>
      <c r="Q19" s="106">
        <v>0.58025461071184803</v>
      </c>
      <c r="R19" s="67">
        <v>8.6676540198341798E-2</v>
      </c>
      <c r="S19" s="67">
        <v>0.84780969930479899</v>
      </c>
      <c r="T19" s="96">
        <v>5.3057284363829504</v>
      </c>
      <c r="U19" s="96">
        <v>2.90089013186972</v>
      </c>
      <c r="V19" s="96">
        <v>61.700804284126001</v>
      </c>
      <c r="W19" s="67">
        <v>7.496607532717324E-2</v>
      </c>
      <c r="X19" s="57">
        <v>0.28999999999999998</v>
      </c>
      <c r="Y19" s="49">
        <f>145.88/136.26</f>
        <v>1.07060032291208</v>
      </c>
      <c r="Z19" s="58">
        <v>2</v>
      </c>
      <c r="AA19" s="49">
        <v>0.97542582615932982</v>
      </c>
      <c r="AB19" s="68">
        <v>1.1830316104323899</v>
      </c>
    </row>
    <row r="20" spans="1:78" ht="18" customHeight="1">
      <c r="A20" s="128"/>
      <c r="B20" s="17" t="s">
        <v>138</v>
      </c>
      <c r="C20" s="44">
        <v>44012</v>
      </c>
      <c r="D20" s="67">
        <v>1.7169337709982599</v>
      </c>
      <c r="E20" s="67">
        <v>1.2002317049623401</v>
      </c>
      <c r="F20" s="67">
        <v>0.96968526742614403</v>
      </c>
      <c r="G20" s="67">
        <v>0.68436213991769501</v>
      </c>
      <c r="H20" s="67">
        <v>-0.22345679012345601</v>
      </c>
      <c r="I20" s="67">
        <v>-0.19012345679012299</v>
      </c>
      <c r="J20" s="96">
        <v>-2.59827906192002E-2</v>
      </c>
      <c r="K20" s="96">
        <v>-0.117407878017789</v>
      </c>
      <c r="L20" s="96">
        <v>-4.8008252658308201E-2</v>
      </c>
      <c r="M20" s="67">
        <v>0.77869636128451702</v>
      </c>
      <c r="N20" s="67">
        <v>3.51867852604828</v>
      </c>
      <c r="O20" s="67">
        <v>0.555316984970053</v>
      </c>
      <c r="P20" s="106">
        <v>0.56029513488586502</v>
      </c>
      <c r="Q20" s="106">
        <v>0.136662729880209</v>
      </c>
      <c r="R20" s="67">
        <v>0.13786008230452601</v>
      </c>
      <c r="S20" s="67">
        <v>0.53731343283582</v>
      </c>
      <c r="T20" s="96">
        <v>17.649871700127001</v>
      </c>
      <c r="U20" s="96">
        <v>28.5811708395061</v>
      </c>
      <c r="V20" s="96">
        <v>-150.329534935064</v>
      </c>
      <c r="W20" s="67">
        <v>0.10519108715045684</v>
      </c>
      <c r="X20" s="57">
        <v>0.77</v>
      </c>
      <c r="Y20" s="49">
        <f>217.62/217.26</f>
        <v>1.0016570008285004</v>
      </c>
      <c r="Z20" s="58">
        <v>2.2000000000000002</v>
      </c>
      <c r="AA20" s="49">
        <v>0.85810436924448852</v>
      </c>
      <c r="AB20" s="68">
        <v>1.0353948150226595</v>
      </c>
    </row>
    <row r="21" spans="1:78" ht="18" customHeight="1">
      <c r="A21" s="128"/>
      <c r="B21" s="17" t="s">
        <v>79</v>
      </c>
      <c r="C21" s="44">
        <v>44012</v>
      </c>
      <c r="D21" s="67">
        <v>0.91965065502183396</v>
      </c>
      <c r="E21" s="67">
        <v>0.49192139737991197</v>
      </c>
      <c r="F21" s="67">
        <v>0.21768558951965</v>
      </c>
      <c r="G21" s="67">
        <v>0.60790351552476196</v>
      </c>
      <c r="H21" s="67">
        <v>0.242750833974852</v>
      </c>
      <c r="I21" s="67">
        <v>0.162945855786502</v>
      </c>
      <c r="J21" s="96">
        <v>4.1939105739383101E-2</v>
      </c>
      <c r="K21" s="96">
        <v>2.3694029850746201</v>
      </c>
      <c r="L21" s="96">
        <v>8.4367010699744296E-2</v>
      </c>
      <c r="M21" s="67">
        <v>0.982299716002906</v>
      </c>
      <c r="N21" s="67">
        <v>55.496268656716403</v>
      </c>
      <c r="O21" s="67">
        <v>0.96252796420581599</v>
      </c>
      <c r="P21" s="106">
        <v>1.1188630490956</v>
      </c>
      <c r="Q21" s="106">
        <v>0.25738062215177299</v>
      </c>
      <c r="R21" s="67">
        <v>0.26327944572748202</v>
      </c>
      <c r="S21" s="67">
        <v>0.92495126705652997</v>
      </c>
      <c r="T21" s="96">
        <v>246.35687686567101</v>
      </c>
      <c r="U21" s="96">
        <v>16.942171670515702</v>
      </c>
      <c r="V21" s="96">
        <v>103.974240944881</v>
      </c>
      <c r="W21" s="67">
        <v>8.0803899895940973E-2</v>
      </c>
      <c r="X21" s="57">
        <v>0.56000000000000005</v>
      </c>
      <c r="Y21" s="49">
        <f>80.24/76.91</f>
        <v>1.0432973605512936</v>
      </c>
      <c r="Z21" s="58">
        <v>2.5</v>
      </c>
      <c r="AA21" s="49">
        <v>0.94712351511631587</v>
      </c>
      <c r="AB21" s="68">
        <v>1.0163706987688486</v>
      </c>
    </row>
    <row r="22" spans="1:78" ht="18" customHeight="1">
      <c r="A22" s="129"/>
      <c r="B22" s="18" t="s">
        <v>80</v>
      </c>
      <c r="C22" s="46">
        <v>44012</v>
      </c>
      <c r="D22" s="70">
        <v>1.4245416078984401</v>
      </c>
      <c r="E22" s="70">
        <v>1.07122708039492</v>
      </c>
      <c r="F22" s="70">
        <v>0.61424541607898397</v>
      </c>
      <c r="G22" s="70">
        <v>0.46848209783156802</v>
      </c>
      <c r="H22" s="70">
        <v>0.19919314170448801</v>
      </c>
      <c r="I22" s="70">
        <v>0.156328794755421</v>
      </c>
      <c r="J22" s="98">
        <v>4.9895380653468498E-2</v>
      </c>
      <c r="K22" s="98">
        <v>0.34140969162995499</v>
      </c>
      <c r="L22" s="98">
        <v>8.2377476538060407E-2</v>
      </c>
      <c r="M22" s="70">
        <v>0.85385482053758199</v>
      </c>
      <c r="N22" s="70">
        <v>5.8425110132158498</v>
      </c>
      <c r="O22" s="70">
        <v>0.75459459459459399</v>
      </c>
      <c r="P22" s="108">
        <v>1.4083806818181801</v>
      </c>
      <c r="Q22" s="108">
        <v>0.31916948334138001</v>
      </c>
      <c r="R22" s="70">
        <v>0.37317196167423</v>
      </c>
      <c r="S22" s="70">
        <v>0.87027027027027004</v>
      </c>
      <c r="T22" s="98">
        <v>32.849107665198197</v>
      </c>
      <c r="U22" s="98">
        <v>15.041346323751799</v>
      </c>
      <c r="V22" s="98">
        <v>96.216095999999993</v>
      </c>
      <c r="W22" s="70">
        <v>7.1986267960250261E-2</v>
      </c>
      <c r="X22" s="60">
        <v>0.22</v>
      </c>
      <c r="Y22" s="70">
        <f>225.31/207.35</f>
        <v>1.0866168314444178</v>
      </c>
      <c r="Z22" s="60">
        <v>2.9</v>
      </c>
      <c r="AA22" s="70">
        <v>1</v>
      </c>
      <c r="AB22" s="74">
        <v>1.4356674783573138</v>
      </c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</row>
    <row r="23" spans="1:78" ht="18" customHeight="1">
      <c r="A23" s="127" t="s">
        <v>34</v>
      </c>
      <c r="B23" s="2" t="s">
        <v>148</v>
      </c>
      <c r="C23" s="42">
        <v>44012</v>
      </c>
      <c r="D23" s="75">
        <v>0.51405371642723297</v>
      </c>
      <c r="E23" s="75">
        <v>0.38038725796377199</v>
      </c>
      <c r="F23" s="75">
        <v>4.5596502186133599E-2</v>
      </c>
      <c r="G23" s="75">
        <v>0.35883280757097702</v>
      </c>
      <c r="H23" s="75">
        <v>0.32807570977917899</v>
      </c>
      <c r="I23" s="75">
        <v>0.199526813880126</v>
      </c>
      <c r="J23" s="99">
        <v>7.4872007339232298E-3</v>
      </c>
      <c r="K23" s="99">
        <v>1.4996147234900101E-2</v>
      </c>
      <c r="L23" s="99">
        <v>1.06865486175831E-2</v>
      </c>
      <c r="M23" s="75">
        <v>0.50072504513035998</v>
      </c>
      <c r="N23" s="75">
        <v>1.0029043921522101</v>
      </c>
      <c r="O23" s="75">
        <v>0.39497937959476398</v>
      </c>
      <c r="P23" s="109">
        <v>6.3542971686294095E-2</v>
      </c>
      <c r="Q23" s="109">
        <v>3.7524784705986802E-2</v>
      </c>
      <c r="R23" s="75">
        <v>0.50630914826498397</v>
      </c>
      <c r="S23" s="75">
        <v>0.67133956386292803</v>
      </c>
      <c r="T23" s="99">
        <v>0.80508446446565096</v>
      </c>
      <c r="U23" s="99">
        <v>10.711813880126099</v>
      </c>
      <c r="V23" s="99">
        <v>53.686086956521699</v>
      </c>
      <c r="W23" s="64">
        <v>0.20244888101747027</v>
      </c>
      <c r="X23" s="55">
        <v>1.76</v>
      </c>
      <c r="Y23" s="64">
        <f>41.93/24.13</f>
        <v>1.7376709490261086</v>
      </c>
      <c r="Z23" s="55">
        <v>2</v>
      </c>
      <c r="AA23" s="64">
        <v>0.62204530037435435</v>
      </c>
      <c r="AB23" s="73">
        <v>0.67078078883820758</v>
      </c>
    </row>
    <row r="24" spans="1:78" ht="18" customHeight="1">
      <c r="A24" s="128"/>
      <c r="B24" t="s">
        <v>52</v>
      </c>
      <c r="C24" s="44">
        <v>44012</v>
      </c>
      <c r="D24" s="65">
        <v>0.88461538461538403</v>
      </c>
      <c r="E24" s="65">
        <v>0.82640332640332603</v>
      </c>
      <c r="F24" s="65">
        <v>0.46136521136521103</v>
      </c>
      <c r="G24" s="65">
        <v>0.47290087054198199</v>
      </c>
      <c r="H24" s="65">
        <v>0.14799213704015701</v>
      </c>
      <c r="I24" s="65">
        <v>8.6211738275765198E-2</v>
      </c>
      <c r="J24" s="100">
        <v>1.1533115443855799E-2</v>
      </c>
      <c r="K24" s="100">
        <v>4.4550863445073197E-2</v>
      </c>
      <c r="L24" s="100">
        <v>1.8947570393821601E-2</v>
      </c>
      <c r="M24" s="65">
        <v>0.74112476050941001</v>
      </c>
      <c r="N24" s="65">
        <v>2.8628646060078302</v>
      </c>
      <c r="O24" s="65">
        <v>0.58208502638122295</v>
      </c>
      <c r="P24" s="110">
        <v>0.27568320817527198</v>
      </c>
      <c r="Q24" s="110">
        <v>0.13377662571847099</v>
      </c>
      <c r="R24" s="65">
        <v>0.24038191519236099</v>
      </c>
      <c r="S24" s="65">
        <v>0.49065420560747602</v>
      </c>
      <c r="T24" s="100">
        <v>6.6963896996081802</v>
      </c>
      <c r="U24" s="100">
        <v>12.958388491996599</v>
      </c>
      <c r="V24" s="100">
        <v>150.30886456025999</v>
      </c>
      <c r="W24" s="49">
        <v>0.17452286436876233</v>
      </c>
      <c r="X24" s="58">
        <v>0.73</v>
      </c>
      <c r="Y24" s="49">
        <f>117.43/116.85</f>
        <v>1.0049636285836543</v>
      </c>
      <c r="Z24" s="58">
        <v>2.2000000000000002</v>
      </c>
      <c r="AA24" s="49">
        <v>0.83909050198787438</v>
      </c>
      <c r="AB24" s="68">
        <v>0.91863997815387299</v>
      </c>
    </row>
    <row r="25" spans="1:78" ht="18" customHeight="1">
      <c r="A25" s="128"/>
      <c r="B25" t="s">
        <v>53</v>
      </c>
      <c r="C25" s="44">
        <v>44012</v>
      </c>
      <c r="D25" s="65">
        <v>0.58323108384458</v>
      </c>
      <c r="E25" s="65">
        <v>0.44182004089979499</v>
      </c>
      <c r="F25" s="65">
        <v>0.20644171779141099</v>
      </c>
      <c r="G25" s="65">
        <v>0.69796050501780504</v>
      </c>
      <c r="H25" s="65">
        <v>0.42797021689867198</v>
      </c>
      <c r="I25" s="65">
        <v>0.42764648753641898</v>
      </c>
      <c r="J25" s="100">
        <v>1.29768067821252E-2</v>
      </c>
      <c r="K25" s="100">
        <v>4.06987491527512E-2</v>
      </c>
      <c r="L25" s="100">
        <v>1.5605811969527299E-2</v>
      </c>
      <c r="M25" s="65">
        <v>0.68114973918681299</v>
      </c>
      <c r="N25" s="65">
        <v>2.1362684084047001</v>
      </c>
      <c r="O25" s="65">
        <v>0.58823753282504698</v>
      </c>
      <c r="P25" s="110">
        <v>4.4204350314825398E-2</v>
      </c>
      <c r="Q25" s="110">
        <v>3.0344705639655301E-2</v>
      </c>
      <c r="R25" s="65">
        <v>0.52217546131434101</v>
      </c>
      <c r="S25" s="65">
        <v>-0.23372597644141299</v>
      </c>
      <c r="T25" s="100">
        <v>1.3177028775648501</v>
      </c>
      <c r="U25" s="100">
        <v>13.8459048235674</v>
      </c>
      <c r="V25" s="100">
        <v>32.376987130961297</v>
      </c>
      <c r="W25" s="49">
        <v>0.12061960282335238</v>
      </c>
      <c r="X25" s="58">
        <v>0.7</v>
      </c>
      <c r="Y25" s="49">
        <f>54.51/45.26</f>
        <v>1.2043747238179408</v>
      </c>
      <c r="Z25" s="58">
        <v>1.7</v>
      </c>
      <c r="AA25" s="49">
        <v>0.74642985880981738</v>
      </c>
      <c r="AB25" s="68">
        <v>0.86690942287438144</v>
      </c>
    </row>
    <row r="26" spans="1:78" ht="18" customHeight="1">
      <c r="A26" s="128"/>
      <c r="B26" t="s">
        <v>149</v>
      </c>
      <c r="C26" s="44">
        <v>44012</v>
      </c>
      <c r="D26" s="65">
        <v>2.22252076209086</v>
      </c>
      <c r="E26" s="65">
        <v>1.25940400586223</v>
      </c>
      <c r="F26" s="65">
        <v>0.44235466536394702</v>
      </c>
      <c r="G26" s="65">
        <v>8.7296620775969905E-2</v>
      </c>
      <c r="H26" s="65">
        <v>-0.59793491864831005</v>
      </c>
      <c r="I26" s="65">
        <v>-0.52440550688360399</v>
      </c>
      <c r="J26" s="100">
        <v>-7.9416224412433595E-2</v>
      </c>
      <c r="K26" s="100">
        <v>-0.32299094237810699</v>
      </c>
      <c r="L26" s="100">
        <v>-0.12245737801293299</v>
      </c>
      <c r="M26" s="65">
        <v>0.75412244124336603</v>
      </c>
      <c r="N26" s="65">
        <v>3.0670649450761198</v>
      </c>
      <c r="O26" s="65">
        <v>0.65003035003709397</v>
      </c>
      <c r="P26" s="110">
        <v>0.541144598713173</v>
      </c>
      <c r="Q26" s="110">
        <v>0.15144048521607201</v>
      </c>
      <c r="R26" s="65">
        <v>0.18710888610763399</v>
      </c>
      <c r="S26" s="65">
        <v>0.76254180602006605</v>
      </c>
      <c r="T26" s="100">
        <v>2.1876662748120999</v>
      </c>
      <c r="U26" s="100">
        <v>3.5518774405506801</v>
      </c>
      <c r="V26" s="100">
        <v>-6.7731505369928398</v>
      </c>
      <c r="W26" s="67">
        <v>0.23390768120013045</v>
      </c>
      <c r="X26" s="58">
        <v>2.64</v>
      </c>
      <c r="Y26" s="49">
        <f>15.71/15.07</f>
        <v>1.0424684804246849</v>
      </c>
      <c r="Z26" s="58">
        <v>2.6</v>
      </c>
      <c r="AA26" s="49">
        <v>0.51122491182453378</v>
      </c>
      <c r="AB26" s="68">
        <v>0.56557731740403849</v>
      </c>
    </row>
    <row r="27" spans="1:78" ht="18" customHeight="1">
      <c r="A27" s="128"/>
      <c r="B27" t="s">
        <v>51</v>
      </c>
      <c r="C27" s="44">
        <v>44012</v>
      </c>
      <c r="D27" s="65">
        <v>0.75930497071777703</v>
      </c>
      <c r="E27" s="65">
        <v>0.69256086346256196</v>
      </c>
      <c r="F27" s="65">
        <v>0.13053579207201901</v>
      </c>
      <c r="G27" s="65">
        <v>0.40184973924380701</v>
      </c>
      <c r="H27" s="65">
        <v>0.161016949152542</v>
      </c>
      <c r="I27" s="65">
        <v>9.1875814863102895E-2</v>
      </c>
      <c r="J27" s="100">
        <v>9.8789554154637398E-3</v>
      </c>
      <c r="K27" s="100">
        <v>2.7409415225292E-2</v>
      </c>
      <c r="L27" s="100">
        <v>1.44555447442702E-2</v>
      </c>
      <c r="M27" s="65">
        <v>0.63957803060504703</v>
      </c>
      <c r="N27" s="65">
        <v>1.77452565302475</v>
      </c>
      <c r="O27" s="65">
        <v>0.511022222750533</v>
      </c>
      <c r="P27" s="110">
        <v>0.28113259415376102</v>
      </c>
      <c r="Q27" s="110">
        <v>0.107525091670572</v>
      </c>
      <c r="R27" s="65">
        <v>0.31127770534550198</v>
      </c>
      <c r="S27" s="65">
        <v>0.59698952879581102</v>
      </c>
      <c r="T27" s="100">
        <v>3.3820393577323702</v>
      </c>
      <c r="U27" s="100">
        <v>11.3365286831812</v>
      </c>
      <c r="V27" s="100">
        <v>123.389694013303</v>
      </c>
      <c r="W27" s="49">
        <v>8.5586715765788468E-2</v>
      </c>
      <c r="X27" s="58">
        <v>0.63</v>
      </c>
      <c r="Y27" s="49">
        <f>99.15/96.39</f>
        <v>1.0286336756924992</v>
      </c>
      <c r="Z27" s="58">
        <v>2.1</v>
      </c>
      <c r="AA27" s="49">
        <v>0.81698698596037034</v>
      </c>
      <c r="AB27" s="68">
        <v>0.94724082380832986</v>
      </c>
    </row>
    <row r="28" spans="1:78" ht="18" customHeight="1">
      <c r="A28" s="128"/>
      <c r="B28" t="s">
        <v>54</v>
      </c>
      <c r="C28" s="44">
        <v>44012</v>
      </c>
      <c r="D28" s="65">
        <v>0.47866205305651599</v>
      </c>
      <c r="E28" s="65">
        <v>0.30738177623990698</v>
      </c>
      <c r="F28" s="65">
        <v>0.101114955786236</v>
      </c>
      <c r="G28" s="65">
        <v>0.59023437499999998</v>
      </c>
      <c r="H28" s="65">
        <v>-0.11015625</v>
      </c>
      <c r="I28" s="65">
        <v>-0.24882812500000001</v>
      </c>
      <c r="J28" s="100">
        <v>-8.8738437534826697E-3</v>
      </c>
      <c r="K28" s="100">
        <v>-2.00610965892986E-2</v>
      </c>
      <c r="L28" s="100">
        <v>-7.8099185966176996E-3</v>
      </c>
      <c r="M28" s="65">
        <v>0.55765908837623901</v>
      </c>
      <c r="N28" s="65">
        <v>1.2606997763990799</v>
      </c>
      <c r="O28" s="65">
        <v>0.497531411209925</v>
      </c>
      <c r="P28" s="110">
        <v>7.1057817747800206E-2</v>
      </c>
      <c r="Q28" s="110">
        <v>3.56625431851108E-2</v>
      </c>
      <c r="R28" s="65">
        <v>0.52304687500000002</v>
      </c>
      <c r="S28" s="65">
        <v>0.60941000746825902</v>
      </c>
      <c r="T28" s="100">
        <v>1.0009409189682801</v>
      </c>
      <c r="U28" s="100">
        <v>12.415186328124999</v>
      </c>
      <c r="V28" s="100">
        <v>-49.894626373626302</v>
      </c>
      <c r="W28" s="49">
        <v>0.13459239773705373</v>
      </c>
      <c r="X28" s="58">
        <v>0.95</v>
      </c>
      <c r="Y28" s="49">
        <f>17.64/13.35</f>
        <v>1.3213483146067417</v>
      </c>
      <c r="Z28" s="58">
        <v>2.2999999999999998</v>
      </c>
      <c r="AA28" s="49">
        <v>0.68210431654676262</v>
      </c>
      <c r="AB28" s="68">
        <v>0.72653260184543111</v>
      </c>
    </row>
    <row r="29" spans="1:78" ht="18" customHeight="1">
      <c r="A29" s="128"/>
      <c r="B29" t="s">
        <v>55</v>
      </c>
      <c r="C29" s="44">
        <v>44012</v>
      </c>
      <c r="D29" s="65">
        <v>1.4479937805368499</v>
      </c>
      <c r="E29" s="65">
        <v>1.34641370591099</v>
      </c>
      <c r="F29" s="65">
        <v>0.760643999237961</v>
      </c>
      <c r="G29" s="65">
        <v>0.398283940198287</v>
      </c>
      <c r="H29" s="65">
        <v>-0.17794471052595301</v>
      </c>
      <c r="I29" s="65">
        <v>-0.17389732742525099</v>
      </c>
      <c r="J29" s="100">
        <v>-1.6703833785554699E-2</v>
      </c>
      <c r="K29" s="100">
        <v>-3.4976836348602602E-2</v>
      </c>
      <c r="L29" s="100">
        <v>-2.12035552937321E-2</v>
      </c>
      <c r="M29" s="65">
        <v>0.52243154243359402</v>
      </c>
      <c r="N29" s="65">
        <v>1.09394063648131</v>
      </c>
      <c r="O29" s="65">
        <v>0.41966731516883599</v>
      </c>
      <c r="P29" s="110">
        <v>0.25016049536215801</v>
      </c>
      <c r="Q29" s="110">
        <v>9.6055724563879397E-2</v>
      </c>
      <c r="R29" s="65">
        <v>0.293769557246155</v>
      </c>
      <c r="S29" s="65">
        <v>0.61579670437097001</v>
      </c>
      <c r="T29" s="100">
        <v>4.1122281768977098</v>
      </c>
      <c r="U29" s="100">
        <v>20.445116379254699</v>
      </c>
      <c r="V29" s="100">
        <v>-117.570043668686</v>
      </c>
      <c r="W29" s="49">
        <v>8.305725062486452E-2</v>
      </c>
      <c r="X29" s="58">
        <v>0.73</v>
      </c>
      <c r="Y29" s="49">
        <f>111.62/100.2</f>
        <v>1.1139720558882236</v>
      </c>
      <c r="Z29" s="58">
        <v>1.9</v>
      </c>
      <c r="AA29" s="49">
        <v>0.8960542924630609</v>
      </c>
      <c r="AB29" s="68">
        <v>0.98096433447375453</v>
      </c>
    </row>
    <row r="30" spans="1:78" ht="18" customHeight="1">
      <c r="A30" s="128"/>
      <c r="B30" t="s">
        <v>56</v>
      </c>
      <c r="C30" s="44">
        <v>44012</v>
      </c>
      <c r="D30" s="65">
        <v>0.95898277276456101</v>
      </c>
      <c r="E30" s="65">
        <v>0.83675143560295295</v>
      </c>
      <c r="F30" s="65">
        <v>0.46472518457752199</v>
      </c>
      <c r="G30" s="65">
        <v>0.83941605839416</v>
      </c>
      <c r="H30" s="65">
        <v>0.34362717574396401</v>
      </c>
      <c r="I30" s="65">
        <v>0.17012914093206</v>
      </c>
      <c r="J30" s="100">
        <v>6.6823986061795597E-3</v>
      </c>
      <c r="K30" s="100">
        <v>2.4811660661644201E-2</v>
      </c>
      <c r="L30" s="100">
        <v>1.0068756555180001E-2</v>
      </c>
      <c r="M30" s="65">
        <v>0.73067507663806897</v>
      </c>
      <c r="N30" s="65">
        <v>2.7129872256796501</v>
      </c>
      <c r="O30" s="65">
        <v>0.64638772260026001</v>
      </c>
      <c r="P30" s="110">
        <v>6.1125030030545299E-2</v>
      </c>
      <c r="Q30" s="110">
        <v>3.9278389167015801E-2</v>
      </c>
      <c r="R30" s="65">
        <v>0.64177428411005</v>
      </c>
      <c r="S30" s="65">
        <v>0.72003499562554596</v>
      </c>
      <c r="T30" s="100">
        <v>1.92351756796593</v>
      </c>
      <c r="U30" s="100">
        <v>13.1892175968557</v>
      </c>
      <c r="V30" s="100">
        <v>77.524741056105597</v>
      </c>
      <c r="W30" s="49">
        <v>0.15653067613997348</v>
      </c>
      <c r="X30" s="58">
        <v>1.83</v>
      </c>
      <c r="Y30" s="49">
        <f>24.35/21.42</f>
        <v>1.1367880485527544</v>
      </c>
      <c r="Z30" s="58">
        <v>1.8</v>
      </c>
      <c r="AA30" s="49">
        <v>0.65927209705372614</v>
      </c>
      <c r="AB30" s="68">
        <v>0.67783323869683665</v>
      </c>
    </row>
    <row r="31" spans="1:78" ht="18" customHeight="1">
      <c r="A31" s="128"/>
      <c r="B31" t="s">
        <v>57</v>
      </c>
      <c r="C31" s="44">
        <v>44012</v>
      </c>
      <c r="D31" s="65">
        <v>1.1286644951139999</v>
      </c>
      <c r="E31" s="65">
        <v>0.98615635179153005</v>
      </c>
      <c r="F31" s="65">
        <v>5.4560260586319201E-2</v>
      </c>
      <c r="G31" s="65">
        <v>0.63671311869293601</v>
      </c>
      <c r="H31" s="65">
        <v>0.421912542047092</v>
      </c>
      <c r="I31" s="65">
        <v>0.31138875540605399</v>
      </c>
      <c r="J31" s="100">
        <v>1.7503106261142001E-2</v>
      </c>
      <c r="K31" s="100">
        <v>4.9788705339992301E-2</v>
      </c>
      <c r="L31" s="100">
        <v>1.82991562831759E-2</v>
      </c>
      <c r="M31" s="65">
        <v>0.64845227162227803</v>
      </c>
      <c r="N31" s="65">
        <v>1.84456396465616</v>
      </c>
      <c r="O31" s="65">
        <v>0.62317959408205204</v>
      </c>
      <c r="P31" s="110">
        <v>9.3193013882668999E-2</v>
      </c>
      <c r="Q31" s="110">
        <v>5.6209821187401997E-2</v>
      </c>
      <c r="R31" s="65">
        <v>0.53099471407976895</v>
      </c>
      <c r="S31" s="65">
        <v>0.70226244343891397</v>
      </c>
      <c r="T31" s="100">
        <v>1.4318591317710301</v>
      </c>
      <c r="U31" s="100">
        <v>8.9551401249399305</v>
      </c>
      <c r="V31" s="100">
        <v>28.758713888888799</v>
      </c>
      <c r="W31" s="49">
        <v>0.16526582862177513</v>
      </c>
      <c r="X31" s="58">
        <v>1.96</v>
      </c>
      <c r="Y31" s="49">
        <f>23.6/17.76</f>
        <v>1.3288288288288288</v>
      </c>
      <c r="Z31" s="58">
        <v>2</v>
      </c>
      <c r="AA31" s="49">
        <v>0.53152882384059197</v>
      </c>
      <c r="AB31" s="68">
        <v>0.53564792533465122</v>
      </c>
    </row>
    <row r="32" spans="1:78" ht="18" customHeight="1">
      <c r="A32" s="129"/>
      <c r="B32" s="3" t="s">
        <v>58</v>
      </c>
      <c r="C32" s="46">
        <v>44012</v>
      </c>
      <c r="D32" s="76">
        <v>4.3874239350912703</v>
      </c>
      <c r="E32" s="76">
        <v>3.5983772819472599</v>
      </c>
      <c r="F32" s="76">
        <v>2.72008113590263</v>
      </c>
      <c r="G32" s="76">
        <v>0.580952380952381</v>
      </c>
      <c r="H32" s="76">
        <v>0.43673469387755098</v>
      </c>
      <c r="I32" s="76">
        <v>0.27619047619047599</v>
      </c>
      <c r="J32" s="101">
        <v>2.13045075300414E-2</v>
      </c>
      <c r="K32" s="101">
        <v>0.45720720720720698</v>
      </c>
      <c r="L32" s="101">
        <v>2.18702865761689E-2</v>
      </c>
      <c r="M32" s="76">
        <v>0.95340294904759404</v>
      </c>
      <c r="N32" s="76">
        <v>20.460585585585498</v>
      </c>
      <c r="O32" s="76">
        <v>0.95188035114338299</v>
      </c>
      <c r="P32" s="111">
        <v>8.8124213176668006E-2</v>
      </c>
      <c r="Q32" s="111">
        <v>7.7137010022563804E-2</v>
      </c>
      <c r="R32" s="76">
        <v>0.23061224489795901</v>
      </c>
      <c r="S32" s="76">
        <v>0.221238938053097</v>
      </c>
      <c r="T32" s="101">
        <v>18.729655405405399</v>
      </c>
      <c r="U32" s="101">
        <v>11.3142408163265</v>
      </c>
      <c r="V32" s="101">
        <v>40.9653546798029</v>
      </c>
      <c r="W32" s="71">
        <v>0.13353289457529227</v>
      </c>
      <c r="X32" s="61">
        <v>1.22</v>
      </c>
      <c r="Y32" s="71">
        <f>36.21/33.49</f>
        <v>1.0812182741116751</v>
      </c>
      <c r="Z32" s="61">
        <v>2.9</v>
      </c>
      <c r="AA32" s="71">
        <v>0.72587675297523868</v>
      </c>
      <c r="AB32" s="72">
        <v>0.81767182837007546</v>
      </c>
    </row>
    <row r="33" spans="1:28" ht="18" customHeight="1">
      <c r="A33" s="127" t="s">
        <v>143</v>
      </c>
      <c r="B33" s="2" t="s">
        <v>107</v>
      </c>
      <c r="C33" s="47">
        <v>44012</v>
      </c>
      <c r="D33" s="75">
        <v>0</v>
      </c>
      <c r="E33" s="75">
        <v>0.66023292827728997</v>
      </c>
      <c r="F33" s="75">
        <v>0.34836503886348502</v>
      </c>
      <c r="G33" s="75">
        <v>0.77101449275362299</v>
      </c>
      <c r="H33" s="75">
        <v>7.8386893509766797E-2</v>
      </c>
      <c r="I33" s="75">
        <v>3.2388153749212299E-2</v>
      </c>
      <c r="J33" s="99">
        <v>1.3626145232439699E-3</v>
      </c>
      <c r="K33" s="99">
        <v>1.22020700788149E-2</v>
      </c>
      <c r="L33" s="99">
        <v>8.90364877825333E-3</v>
      </c>
      <c r="M33" s="75">
        <v>0.88832923311842504</v>
      </c>
      <c r="N33" s="75">
        <v>7.9548950716930902</v>
      </c>
      <c r="O33" s="75">
        <v>0.69850699265663696</v>
      </c>
      <c r="P33" s="109">
        <v>1.6431973493476899</v>
      </c>
      <c r="Q33" s="109">
        <v>4.2071386155412199E-2</v>
      </c>
      <c r="R33" s="75">
        <v>0.26843100189035901</v>
      </c>
      <c r="S33" s="75">
        <v>0.83380281690140801</v>
      </c>
      <c r="T33" s="99">
        <v>3.61756955654733</v>
      </c>
      <c r="U33" s="99">
        <v>9.6021739130434707</v>
      </c>
      <c r="V33" s="99">
        <v>296.471789883268</v>
      </c>
      <c r="W33" s="64">
        <v>0.14467972239941018</v>
      </c>
      <c r="X33" s="55">
        <v>1.1399999999999999</v>
      </c>
      <c r="Y33" s="64">
        <f>104.76/104.64</f>
        <v>1.0011467889908257</v>
      </c>
      <c r="Z33" s="55">
        <v>2.6</v>
      </c>
      <c r="AA33" s="64">
        <v>0.69524575963426805</v>
      </c>
      <c r="AB33" s="73">
        <v>0.76208772433697913</v>
      </c>
    </row>
    <row r="34" spans="1:28" ht="18" customHeight="1">
      <c r="A34" s="128"/>
      <c r="B34" t="s">
        <v>100</v>
      </c>
      <c r="C34" s="48">
        <v>44012</v>
      </c>
      <c r="D34" s="65">
        <v>1.5534782608695601</v>
      </c>
      <c r="E34" s="65">
        <v>1.2547204968944099</v>
      </c>
      <c r="F34" s="65">
        <v>0.86322981366459595</v>
      </c>
      <c r="G34" s="65">
        <v>0.76989869753979701</v>
      </c>
      <c r="H34" s="65">
        <v>0.62001240438288197</v>
      </c>
      <c r="I34" s="65">
        <v>0.49059334298118601</v>
      </c>
      <c r="J34" s="100">
        <v>3.0468388886035602E-2</v>
      </c>
      <c r="K34" s="100">
        <v>6.6799909920053996E-2</v>
      </c>
      <c r="L34" s="100">
        <v>4.7455651948724503E-2</v>
      </c>
      <c r="M34" s="65">
        <v>0.54388577885059797</v>
      </c>
      <c r="N34" s="65">
        <v>1.1924332845400201</v>
      </c>
      <c r="O34" s="65">
        <v>0.33480638154445302</v>
      </c>
      <c r="P34" s="110">
        <v>1.7614712308812801</v>
      </c>
      <c r="Q34" s="110">
        <v>6.2105182065635998E-2</v>
      </c>
      <c r="R34" s="65">
        <v>0.62063262352697901</v>
      </c>
      <c r="S34" s="65">
        <v>0.94636908727514901</v>
      </c>
      <c r="T34" s="100">
        <v>12.0763528712982</v>
      </c>
      <c r="U34" s="100">
        <v>88.691411908207499</v>
      </c>
      <c r="V34" s="100">
        <v>180.78396940581499</v>
      </c>
      <c r="W34" s="49">
        <v>0.10374652197970564</v>
      </c>
      <c r="X34" s="58">
        <v>0.9</v>
      </c>
      <c r="Y34" s="49">
        <f>223.06/204.18</f>
        <v>1.0924674306984032</v>
      </c>
      <c r="Z34" s="58">
        <v>1.8</v>
      </c>
      <c r="AA34" s="49">
        <v>0.90558342230165878</v>
      </c>
      <c r="AB34" s="68">
        <v>1.1105553396509678</v>
      </c>
    </row>
    <row r="35" spans="1:28" ht="18" customHeight="1">
      <c r="A35" s="128"/>
      <c r="B35" t="s">
        <v>213</v>
      </c>
      <c r="C35" s="48">
        <v>44012</v>
      </c>
      <c r="D35" s="65">
        <v>0</v>
      </c>
      <c r="E35" s="77">
        <v>7.2013762327332101E-2</v>
      </c>
      <c r="F35" s="77">
        <v>4.65500502461208E-2</v>
      </c>
      <c r="G35" s="65">
        <v>0.81496710526315697</v>
      </c>
      <c r="H35" s="65">
        <v>0.38541666666666602</v>
      </c>
      <c r="I35" s="65">
        <v>0.33278508771929799</v>
      </c>
      <c r="J35" s="100">
        <v>7.7156766788270097E-3</v>
      </c>
      <c r="K35" s="100">
        <v>3.7091353498319497E-2</v>
      </c>
      <c r="L35" s="100">
        <v>4.4163326653306599E-2</v>
      </c>
      <c r="M35" s="65">
        <v>0.79198179761284304</v>
      </c>
      <c r="N35" s="65">
        <v>3.8072716162542002</v>
      </c>
      <c r="O35" s="65">
        <v>0.18011022044088101</v>
      </c>
      <c r="P35" s="110">
        <v>2.6823529411764699</v>
      </c>
      <c r="Q35" s="110">
        <v>2.3185163529127601E-2</v>
      </c>
      <c r="R35" s="65">
        <v>11.0334018628027</v>
      </c>
      <c r="S35" s="65">
        <v>10.723148031862801</v>
      </c>
      <c r="T35" s="100">
        <v>2.5565139579727401</v>
      </c>
      <c r="U35" s="100">
        <v>22.937144145956101</v>
      </c>
      <c r="V35" s="100">
        <v>68.924795588507394</v>
      </c>
      <c r="W35" s="49">
        <v>0.11807267000318586</v>
      </c>
      <c r="X35" s="58">
        <v>1.24</v>
      </c>
      <c r="Y35" s="49">
        <f>646.73/547.51</f>
        <v>1.1812204343299666</v>
      </c>
      <c r="Z35" s="58">
        <v>1.9</v>
      </c>
      <c r="AA35" s="49">
        <v>0.95040882827029172</v>
      </c>
      <c r="AB35" s="68">
        <v>1.1504663164807987</v>
      </c>
    </row>
    <row r="36" spans="1:28" ht="18" customHeight="1">
      <c r="A36" s="128"/>
      <c r="B36" t="s">
        <v>101</v>
      </c>
      <c r="C36" s="48">
        <v>44012</v>
      </c>
      <c r="D36" s="65">
        <v>0</v>
      </c>
      <c r="E36" s="65">
        <v>0</v>
      </c>
      <c r="F36" s="65">
        <v>0</v>
      </c>
      <c r="G36" s="65">
        <v>0.93589488918527697</v>
      </c>
      <c r="H36" s="65">
        <v>0.15792162093135401</v>
      </c>
      <c r="I36" s="65">
        <v>0.13300604443939901</v>
      </c>
      <c r="J36" s="100">
        <v>1.45870907203757E-3</v>
      </c>
      <c r="K36" s="100">
        <v>1.7722504972283702E-2</v>
      </c>
      <c r="L36" s="100">
        <v>9.5705875979630907E-3</v>
      </c>
      <c r="M36" s="65">
        <v>0.91769171038073605</v>
      </c>
      <c r="N36" s="65">
        <v>11.1494445410752</v>
      </c>
      <c r="O36" s="65">
        <v>0.54517609709201997</v>
      </c>
      <c r="P36" s="110">
        <v>1.3398349872628399</v>
      </c>
      <c r="Q36" s="110">
        <v>1.09672389565888E-2</v>
      </c>
      <c r="R36" s="65">
        <v>2.3763443911575202</v>
      </c>
      <c r="S36" s="65">
        <v>1.09789825650823</v>
      </c>
      <c r="T36" s="100">
        <v>1.13027239796419</v>
      </c>
      <c r="U36" s="100">
        <v>8.4826079060132198</v>
      </c>
      <c r="V36" s="100">
        <v>63.7761083848943</v>
      </c>
      <c r="W36" s="49">
        <v>0.12742231800347234</v>
      </c>
      <c r="X36" s="58">
        <v>1.1399999999999999</v>
      </c>
      <c r="Y36" s="49">
        <f>115.44/98.27</f>
        <v>1.1747227027577083</v>
      </c>
      <c r="Z36" s="58">
        <v>2.2000000000000002</v>
      </c>
      <c r="AA36" s="49">
        <v>0.66666667139178304</v>
      </c>
      <c r="AB36" s="68">
        <v>0.82741025686136516</v>
      </c>
    </row>
    <row r="37" spans="1:28" ht="18" customHeight="1">
      <c r="A37" s="128"/>
      <c r="B37" t="s">
        <v>102</v>
      </c>
      <c r="C37" s="48">
        <v>44012</v>
      </c>
      <c r="D37" s="65">
        <v>0</v>
      </c>
      <c r="E37" s="65">
        <v>0.13065850357707101</v>
      </c>
      <c r="F37" s="65">
        <v>0.13065850357707101</v>
      </c>
      <c r="G37" s="65">
        <v>0.929552835373469</v>
      </c>
      <c r="H37" s="65">
        <v>0.158173036888999</v>
      </c>
      <c r="I37" s="65">
        <v>0.14709800982596299</v>
      </c>
      <c r="J37" s="100">
        <v>1.2886221918759499E-3</v>
      </c>
      <c r="K37" s="100">
        <v>1.33001050305492E-2</v>
      </c>
      <c r="L37" s="100">
        <v>7.2064450164748498E-3</v>
      </c>
      <c r="M37" s="65">
        <v>0.90311187852155295</v>
      </c>
      <c r="N37" s="65">
        <v>9.3211826665712891</v>
      </c>
      <c r="O37" s="65">
        <v>0.49610464994963599</v>
      </c>
      <c r="P37" s="110">
        <v>0.71291184327693602</v>
      </c>
      <c r="Q37" s="110">
        <v>8.7602965764156902E-3</v>
      </c>
      <c r="R37" s="65">
        <v>-0.12515613290032401</v>
      </c>
      <c r="S37" s="65">
        <v>1</v>
      </c>
      <c r="T37" s="100">
        <v>0.81424366492619604</v>
      </c>
      <c r="U37" s="100">
        <v>9.0054644191856106</v>
      </c>
      <c r="V37" s="100">
        <v>61.220844726861003</v>
      </c>
      <c r="W37" s="49">
        <v>0.13811437425289452</v>
      </c>
      <c r="X37" s="58">
        <v>1.55</v>
      </c>
      <c r="Y37" s="49">
        <f>28.61/25.35</f>
        <v>1.1285996055226823</v>
      </c>
      <c r="Z37" s="58">
        <v>2.2999999999999998</v>
      </c>
      <c r="AA37" s="49">
        <v>0.66638610175045176</v>
      </c>
      <c r="AB37" s="68">
        <v>0.80727396329027867</v>
      </c>
    </row>
    <row r="38" spans="1:28" ht="18" customHeight="1">
      <c r="A38" s="128"/>
      <c r="B38" t="s">
        <v>103</v>
      </c>
      <c r="C38" s="48">
        <v>44012</v>
      </c>
      <c r="D38" s="65">
        <v>0</v>
      </c>
      <c r="E38" s="65">
        <v>0.46601288499386001</v>
      </c>
      <c r="F38" s="65">
        <v>0.34283167084391603</v>
      </c>
      <c r="G38" s="65">
        <v>0.71772085729221102</v>
      </c>
      <c r="H38" s="65">
        <v>0.36136957658128499</v>
      </c>
      <c r="I38" s="65">
        <v>0.23319393622582299</v>
      </c>
      <c r="J38" s="100">
        <v>1.07452807237708E-2</v>
      </c>
      <c r="K38" s="100">
        <v>0.123221832444825</v>
      </c>
      <c r="L38" s="100">
        <v>1.29178263191926E-2</v>
      </c>
      <c r="M38" s="65">
        <v>0.91279726562593999</v>
      </c>
      <c r="N38" s="65">
        <v>10.467530315167201</v>
      </c>
      <c r="O38" s="65">
        <v>0.85785743732699804</v>
      </c>
      <c r="P38" s="110">
        <v>0.103518436346713</v>
      </c>
      <c r="Q38" s="110">
        <v>4.6078731281268097E-2</v>
      </c>
      <c r="R38" s="65">
        <v>0.51688447464715104</v>
      </c>
      <c r="S38" s="65">
        <v>0.78711569579287999</v>
      </c>
      <c r="T38" s="100">
        <v>32.327605123884702</v>
      </c>
      <c r="U38" s="100">
        <v>61.1791055044432</v>
      </c>
      <c r="V38" s="100">
        <v>262.35290031383101</v>
      </c>
      <c r="W38" s="49">
        <v>0.10858188867795567</v>
      </c>
      <c r="X38" s="58">
        <v>1.18</v>
      </c>
      <c r="Y38" s="49">
        <f>284.12/250.54</f>
        <v>1.1340304941326735</v>
      </c>
      <c r="Z38" s="58">
        <v>2</v>
      </c>
      <c r="AA38" s="49">
        <v>0.96690225698966359</v>
      </c>
      <c r="AB38" s="68">
        <v>1.2780029914285271</v>
      </c>
    </row>
    <row r="39" spans="1:28" ht="18" customHeight="1">
      <c r="A39" s="128"/>
      <c r="B39" t="s">
        <v>105</v>
      </c>
      <c r="C39" s="48">
        <v>44012</v>
      </c>
      <c r="D39" s="65">
        <v>0</v>
      </c>
      <c r="E39" s="65">
        <v>0</v>
      </c>
      <c r="F39" s="65">
        <v>0</v>
      </c>
      <c r="G39" s="65">
        <v>0.84928918094747197</v>
      </c>
      <c r="H39" s="65">
        <v>6.2191298372202802E-2</v>
      </c>
      <c r="I39" s="65">
        <v>5.6521925868659499E-2</v>
      </c>
      <c r="J39" s="100">
        <v>5.8941692065489699E-4</v>
      </c>
      <c r="K39" s="100">
        <v>6.86768742628716E-3</v>
      </c>
      <c r="L39" s="100">
        <v>3.19366912440973E-3</v>
      </c>
      <c r="M39" s="65">
        <v>0.91417534257619004</v>
      </c>
      <c r="N39" s="65">
        <v>10.651663170199599</v>
      </c>
      <c r="O39" s="65">
        <v>0.57736376729444605</v>
      </c>
      <c r="P39" s="110">
        <v>8.0286206896551704</v>
      </c>
      <c r="Q39" s="110">
        <v>1.04281110665714E-2</v>
      </c>
      <c r="R39" s="65">
        <v>0.27165743246145202</v>
      </c>
      <c r="S39" s="65">
        <v>0.86434782608695604</v>
      </c>
      <c r="T39" s="100">
        <v>0.55024967441107997</v>
      </c>
      <c r="U39" s="100">
        <v>4.52862359275007</v>
      </c>
      <c r="V39" s="100">
        <v>80.121537317629105</v>
      </c>
      <c r="W39" s="49">
        <v>0.16209514464125191</v>
      </c>
      <c r="X39" s="58">
        <v>1.74</v>
      </c>
      <c r="Y39" s="49">
        <f>69.02/45.49</f>
        <v>1.5172565398988787</v>
      </c>
      <c r="Z39" s="58">
        <v>1.9</v>
      </c>
      <c r="AA39" s="49">
        <v>0.62385539622241992</v>
      </c>
      <c r="AB39" s="68">
        <v>0.72236357710951593</v>
      </c>
    </row>
    <row r="40" spans="1:28" ht="18" customHeight="1">
      <c r="A40" s="128"/>
      <c r="B40" t="s">
        <v>104</v>
      </c>
      <c r="C40" s="48">
        <v>44043</v>
      </c>
      <c r="D40" s="65">
        <v>0</v>
      </c>
      <c r="E40" s="65">
        <v>0</v>
      </c>
      <c r="F40" s="65">
        <v>0</v>
      </c>
      <c r="G40" s="65">
        <v>0.820995107072504</v>
      </c>
      <c r="H40" s="65">
        <v>0.25926161275973802</v>
      </c>
      <c r="I40" s="65">
        <v>0.203151807841392</v>
      </c>
      <c r="J40" s="100">
        <v>1.8994328437308E-3</v>
      </c>
      <c r="K40" s="100">
        <v>3.7058932628552803E-2</v>
      </c>
      <c r="L40" s="100">
        <v>4.2426196096373998E-2</v>
      </c>
      <c r="M40" s="65">
        <v>0.94874561383704403</v>
      </c>
      <c r="N40" s="65">
        <v>18.510525339639202</v>
      </c>
      <c r="O40" s="65">
        <v>0.10293551842107999</v>
      </c>
      <c r="P40" s="110">
        <v>1.9250152905198701</v>
      </c>
      <c r="Q40" s="110">
        <v>9.3498200380955996E-3</v>
      </c>
      <c r="R40" s="65">
        <v>1.8283027260596001</v>
      </c>
      <c r="S40" s="65">
        <v>0.98123175309328503</v>
      </c>
      <c r="T40" s="100">
        <v>1.2776971775938799</v>
      </c>
      <c r="U40" s="100">
        <v>7.0041545476691196</v>
      </c>
      <c r="V40" s="100">
        <v>34.477441387760003</v>
      </c>
      <c r="W40" s="49">
        <v>9.7579575048972633E-2</v>
      </c>
      <c r="X40" s="58">
        <v>0.71</v>
      </c>
      <c r="Y40" s="49">
        <f>88.84/73.32</f>
        <v>1.2116748499727226</v>
      </c>
      <c r="Z40" s="58">
        <v>2.2000000000000002</v>
      </c>
      <c r="AA40" s="49">
        <v>0.83623812020437716</v>
      </c>
      <c r="AB40" s="68">
        <v>0.88838882172002653</v>
      </c>
    </row>
    <row r="41" spans="1:28" ht="18" customHeight="1">
      <c r="A41" s="128"/>
      <c r="B41" t="s">
        <v>106</v>
      </c>
      <c r="C41" s="48">
        <v>44012</v>
      </c>
      <c r="D41" s="65">
        <v>0</v>
      </c>
      <c r="E41" s="65">
        <v>0</v>
      </c>
      <c r="F41" s="65">
        <v>0</v>
      </c>
      <c r="G41" s="65">
        <v>0.90276863896340498</v>
      </c>
      <c r="H41" s="65">
        <v>-0.31629295945740699</v>
      </c>
      <c r="I41" s="65">
        <v>-0.120413018170774</v>
      </c>
      <c r="J41" s="100">
        <v>-1.20837113196794E-3</v>
      </c>
      <c r="K41" s="100">
        <v>-1.3261904496448901E-2</v>
      </c>
      <c r="L41" s="100">
        <v>-1.5231173085500699E-2</v>
      </c>
      <c r="M41" s="65">
        <v>0.90888404208524498</v>
      </c>
      <c r="N41" s="65">
        <v>9.9750259217553197</v>
      </c>
      <c r="O41" s="65">
        <v>0.56280053715876099</v>
      </c>
      <c r="P41" s="110">
        <v>1.45561040300596</v>
      </c>
      <c r="Q41" s="110">
        <v>1.00352200312276E-2</v>
      </c>
      <c r="R41" s="65">
        <v>0.81586273219618299</v>
      </c>
      <c r="S41" s="65">
        <v>1</v>
      </c>
      <c r="T41" s="100">
        <v>0.56183826775779599</v>
      </c>
      <c r="U41" s="100">
        <v>5.1012764842840497</v>
      </c>
      <c r="V41" s="100">
        <v>-42.364825346784301</v>
      </c>
      <c r="W41" s="49">
        <v>0.14199410661640807</v>
      </c>
      <c r="X41" s="58">
        <v>1.08</v>
      </c>
      <c r="Y41" s="49">
        <f>29.83/25.08</f>
        <v>1.1893939393939394</v>
      </c>
      <c r="Z41" s="58">
        <v>2.8</v>
      </c>
      <c r="AA41" s="49">
        <v>0.47006978461384108</v>
      </c>
      <c r="AB41" s="68">
        <v>0.53680017900608468</v>
      </c>
    </row>
    <row r="42" spans="1:28" ht="18" customHeight="1">
      <c r="A42" s="129"/>
      <c r="B42" s="3" t="s">
        <v>144</v>
      </c>
      <c r="C42" s="50">
        <v>44043</v>
      </c>
      <c r="D42" s="76">
        <v>0</v>
      </c>
      <c r="E42" s="76">
        <v>0</v>
      </c>
      <c r="F42" s="76">
        <v>0</v>
      </c>
      <c r="G42" s="76">
        <v>0.87075440888308298</v>
      </c>
      <c r="H42" s="76">
        <v>0.19309274983670799</v>
      </c>
      <c r="I42" s="76">
        <v>0.18354016982364399</v>
      </c>
      <c r="J42" s="101">
        <v>1.32445258807344E-3</v>
      </c>
      <c r="K42" s="101">
        <v>2.4311638872666699E-2</v>
      </c>
      <c r="L42" s="101">
        <v>2.2536043375927801E-2</v>
      </c>
      <c r="M42" s="76">
        <v>0.94552187143736599</v>
      </c>
      <c r="N42" s="76">
        <v>17.3559903099517</v>
      </c>
      <c r="O42" s="76">
        <v>0.16283238721242899</v>
      </c>
      <c r="P42" s="111">
        <v>1.2725194805194799</v>
      </c>
      <c r="Q42" s="111">
        <v>7.2161455955175998E-3</v>
      </c>
      <c r="R42" s="76">
        <v>4.9289679947746503</v>
      </c>
      <c r="S42" s="76">
        <v>0.99889017724035101</v>
      </c>
      <c r="T42" s="101">
        <v>0.86308312244500596</v>
      </c>
      <c r="U42" s="101">
        <v>6.5158265839320704</v>
      </c>
      <c r="V42" s="101">
        <v>35.500820284697497</v>
      </c>
      <c r="W42" s="71">
        <v>0.10911702193052088</v>
      </c>
      <c r="X42" s="61">
        <v>0.7</v>
      </c>
      <c r="Y42" s="71">
        <f>64.12/47.41</f>
        <v>1.3524572874920904</v>
      </c>
      <c r="Z42" s="61">
        <v>2.4</v>
      </c>
      <c r="AA42" s="71">
        <v>0.7597803665027516</v>
      </c>
      <c r="AB42" s="72">
        <v>0.7699530610312314</v>
      </c>
    </row>
    <row r="43" spans="1:28" ht="18" customHeight="1">
      <c r="A43" s="127" t="s">
        <v>39</v>
      </c>
      <c r="B43" s="2" t="s">
        <v>93</v>
      </c>
      <c r="C43" s="47">
        <v>44012</v>
      </c>
      <c r="D43" s="75">
        <v>0</v>
      </c>
      <c r="E43" s="75">
        <v>0.483577278193634</v>
      </c>
      <c r="F43" s="75">
        <v>0.46683559051572399</v>
      </c>
      <c r="G43" s="75">
        <v>0.62415993641814405</v>
      </c>
      <c r="H43" s="75">
        <v>0.174908542643088</v>
      </c>
      <c r="I43" s="75">
        <v>-3.6641381970336201E-2</v>
      </c>
      <c r="J43" s="99">
        <v>-7.0982348150417296E-4</v>
      </c>
      <c r="K43" s="99">
        <v>-1.68389503452387E-3</v>
      </c>
      <c r="L43" s="99">
        <v>-1.2565563123384401E-3</v>
      </c>
      <c r="M43" s="75">
        <v>0.57846334423993495</v>
      </c>
      <c r="N43" s="75">
        <v>1.3722729360200401</v>
      </c>
      <c r="O43" s="75">
        <v>0.517301145718011</v>
      </c>
      <c r="P43" s="109">
        <v>2.42708999968228E-2</v>
      </c>
      <c r="Q43" s="109">
        <v>1.9372180942269699E-2</v>
      </c>
      <c r="R43" s="75">
        <v>0.44502039528278697</v>
      </c>
      <c r="S43" s="75">
        <v>0.78838097989520795</v>
      </c>
      <c r="T43" s="99">
        <v>0.42725657779890402</v>
      </c>
      <c r="U43" s="99">
        <v>9.2970589885342196</v>
      </c>
      <c r="V43" s="99">
        <v>-253.73112280701699</v>
      </c>
      <c r="W43" s="64">
        <v>0.13608986590729383</v>
      </c>
      <c r="X43" s="55">
        <v>0.99</v>
      </c>
      <c r="Y43" s="64">
        <f>10.56/7.65</f>
        <v>1.3803921568627451</v>
      </c>
      <c r="Z43" s="55">
        <v>2.6</v>
      </c>
      <c r="AA43" s="64">
        <v>0.51954177897574128</v>
      </c>
      <c r="AB43" s="73">
        <v>0.55308464849354377</v>
      </c>
    </row>
    <row r="44" spans="1:28" ht="18" customHeight="1">
      <c r="A44" s="128"/>
      <c r="B44" t="s">
        <v>85</v>
      </c>
      <c r="C44" s="48">
        <v>44012</v>
      </c>
      <c r="D44" s="65">
        <v>0</v>
      </c>
      <c r="E44" s="65">
        <v>1.6403035992819601E-2</v>
      </c>
      <c r="F44" s="65">
        <v>1.29542015329226E-2</v>
      </c>
      <c r="G44" s="65">
        <v>0.78406550894085203</v>
      </c>
      <c r="H44" s="65">
        <v>0.79175980055020601</v>
      </c>
      <c r="I44" s="65">
        <v>0.79175980055020601</v>
      </c>
      <c r="J44" s="100">
        <v>1.3566204062753801E-2</v>
      </c>
      <c r="K44" s="100">
        <v>9.2040664889430704E-2</v>
      </c>
      <c r="L44" s="100">
        <v>8.4178992612430198E-2</v>
      </c>
      <c r="M44" s="65">
        <v>0.85260640957938405</v>
      </c>
      <c r="N44" s="65">
        <v>5.7845555369559296</v>
      </c>
      <c r="O44" s="65">
        <v>8.5415205186151602E-2</v>
      </c>
      <c r="P44" s="110">
        <v>3.31443225530702</v>
      </c>
      <c r="Q44" s="110">
        <v>1.7134242043264199E-2</v>
      </c>
      <c r="R44" s="65">
        <v>0.25629728335625801</v>
      </c>
      <c r="S44" s="65">
        <v>0.99631027253668702</v>
      </c>
      <c r="T44" s="100">
        <v>0.47850764652826799</v>
      </c>
      <c r="U44" s="100">
        <v>4.1162579522008196</v>
      </c>
      <c r="V44" s="100">
        <v>5.1988721192214697</v>
      </c>
      <c r="W44" s="49">
        <v>0.24080631149482318</v>
      </c>
      <c r="X44" s="58">
        <v>1.77</v>
      </c>
      <c r="Y44" s="49">
        <f>2/1.79</f>
        <v>1.1173184357541899</v>
      </c>
      <c r="Z44" s="58">
        <v>3</v>
      </c>
      <c r="AA44" s="49">
        <v>0.43147208121827413</v>
      </c>
      <c r="AB44" s="68">
        <v>0.45333333333333331</v>
      </c>
    </row>
    <row r="45" spans="1:28" ht="18" customHeight="1">
      <c r="A45" s="128"/>
      <c r="B45" t="s">
        <v>86</v>
      </c>
      <c r="C45" s="48">
        <v>44012</v>
      </c>
      <c r="D45" s="65">
        <v>0</v>
      </c>
      <c r="E45" s="65">
        <v>0.80165193382984101</v>
      </c>
      <c r="F45" s="65">
        <v>0.43087167351105499</v>
      </c>
      <c r="G45" s="65">
        <v>0.83821485067829904</v>
      </c>
      <c r="H45" s="65">
        <v>0.394420209961171</v>
      </c>
      <c r="I45" s="65">
        <v>0.10948660179281899</v>
      </c>
      <c r="J45" s="100">
        <v>2.8564639377681002E-3</v>
      </c>
      <c r="K45" s="100">
        <v>8.1073981783201608E-3</v>
      </c>
      <c r="L45" s="100">
        <v>3.0205330150207001E-3</v>
      </c>
      <c r="M45" s="65">
        <v>0.64767193186507999</v>
      </c>
      <c r="N45" s="65">
        <v>1.8382637957106001</v>
      </c>
      <c r="O45" s="65">
        <v>0.62759802191439595</v>
      </c>
      <c r="P45" s="110">
        <v>2.95180552411138E-2</v>
      </c>
      <c r="Q45" s="110">
        <v>2.6089620930726899E-2</v>
      </c>
      <c r="R45" s="65">
        <v>0.38675039547480899</v>
      </c>
      <c r="S45" s="65">
        <v>0.98066435299950405</v>
      </c>
      <c r="T45" s="100">
        <v>1.20816649983316</v>
      </c>
      <c r="U45" s="100">
        <v>16.315720722879998</v>
      </c>
      <c r="V45" s="100">
        <v>149.02024956217099</v>
      </c>
      <c r="W45" s="49">
        <v>0.17883597999461209</v>
      </c>
      <c r="X45" s="58">
        <v>1.3</v>
      </c>
      <c r="Y45" s="49">
        <f>19.06/18.5</f>
        <v>1.0302702702702702</v>
      </c>
      <c r="Z45" s="58">
        <v>3</v>
      </c>
      <c r="AA45" s="49">
        <v>0.6017759698847005</v>
      </c>
      <c r="AB45" s="68">
        <v>0.60842546990419433</v>
      </c>
    </row>
    <row r="46" spans="1:28" ht="18" customHeight="1">
      <c r="A46" s="128"/>
      <c r="B46" t="s">
        <v>87</v>
      </c>
      <c r="C46" s="48">
        <v>44012</v>
      </c>
      <c r="D46" s="65">
        <v>0</v>
      </c>
      <c r="E46" s="65">
        <v>0.888697565750459</v>
      </c>
      <c r="F46" s="65">
        <v>0.474825129857603</v>
      </c>
      <c r="G46" s="65">
        <v>0.75156613890343105</v>
      </c>
      <c r="H46" s="65">
        <v>0.18428986658482399</v>
      </c>
      <c r="I46" s="65">
        <v>0.15034933472946799</v>
      </c>
      <c r="J46" s="100">
        <v>4.9376391823724797E-3</v>
      </c>
      <c r="K46" s="100">
        <v>2.23805991808829E-2</v>
      </c>
      <c r="L46" s="100">
        <v>6.5999644398467604E-3</v>
      </c>
      <c r="M46" s="65">
        <v>0.77937859739742199</v>
      </c>
      <c r="N46" s="65">
        <v>3.5326518107646101</v>
      </c>
      <c r="O46" s="65">
        <v>0.75941422729403296</v>
      </c>
      <c r="P46" s="110">
        <v>3.6272778946320597E-2</v>
      </c>
      <c r="Q46" s="110">
        <v>3.2841110945100102E-2</v>
      </c>
      <c r="R46" s="65">
        <v>0.28342149446661002</v>
      </c>
      <c r="S46" s="65">
        <v>-0.104465252563857</v>
      </c>
      <c r="T46" s="100">
        <v>1.94364168467219</v>
      </c>
      <c r="U46" s="100">
        <v>13.057078225704499</v>
      </c>
      <c r="V46" s="100">
        <v>86.8449351585014</v>
      </c>
      <c r="W46" s="49">
        <v>0.16538877259112428</v>
      </c>
      <c r="X46" s="58">
        <v>0.88</v>
      </c>
      <c r="Y46" s="49">
        <f>36.33/26.09</f>
        <v>1.3924875431199693</v>
      </c>
      <c r="Z46" s="58">
        <v>3</v>
      </c>
      <c r="AA46" s="49">
        <v>0.56386510571378656</v>
      </c>
      <c r="AB46" s="68">
        <v>0.58364983570899198</v>
      </c>
    </row>
    <row r="47" spans="1:28" ht="18" customHeight="1">
      <c r="A47" s="128"/>
      <c r="B47" t="s">
        <v>88</v>
      </c>
      <c r="C47" s="48">
        <v>44012</v>
      </c>
      <c r="D47" s="65">
        <v>0</v>
      </c>
      <c r="E47" s="65">
        <v>0.81139776008865805</v>
      </c>
      <c r="F47" s="65">
        <v>3.0796116918683301E-2</v>
      </c>
      <c r="G47" s="65">
        <v>0.54320155242731205</v>
      </c>
      <c r="H47" s="65">
        <v>-3.30713064070517E-2</v>
      </c>
      <c r="I47" s="65">
        <v>-3.41237995000657E-2</v>
      </c>
      <c r="J47" s="100">
        <v>-1.13052219228684E-3</v>
      </c>
      <c r="K47" s="100">
        <v>-2.78149015486532E-3</v>
      </c>
      <c r="L47" s="100">
        <v>-1.15469065085278E-3</v>
      </c>
      <c r="M47" s="65">
        <v>0.59355520625900604</v>
      </c>
      <c r="N47" s="65">
        <v>1.46035873850373</v>
      </c>
      <c r="O47" s="65">
        <v>0.57165455514265096</v>
      </c>
      <c r="P47" s="110">
        <v>3.6940782239653303E-2</v>
      </c>
      <c r="Q47" s="110">
        <v>3.3130020948712403E-2</v>
      </c>
      <c r="R47" s="65">
        <v>0.302525983423233</v>
      </c>
      <c r="S47" s="65">
        <v>-0.257610350076103</v>
      </c>
      <c r="T47" s="100">
        <v>0.75647097933922502</v>
      </c>
      <c r="U47" s="100">
        <v>9.28051605051966</v>
      </c>
      <c r="V47" s="100">
        <v>-271.96608192770998</v>
      </c>
      <c r="W47" s="49">
        <v>0.17318499697277673</v>
      </c>
      <c r="X47" s="58">
        <v>0.88</v>
      </c>
      <c r="Y47" s="49">
        <f>6.38/4.16</f>
        <v>1.533653846153846</v>
      </c>
      <c r="Z47" s="58">
        <v>3</v>
      </c>
      <c r="AA47" s="49">
        <v>0.57319819819819817</v>
      </c>
      <c r="AB47" s="68">
        <v>0.68506056527590853</v>
      </c>
    </row>
    <row r="48" spans="1:28" ht="18" customHeight="1">
      <c r="A48" s="128"/>
      <c r="B48" t="s">
        <v>89</v>
      </c>
      <c r="C48" s="48">
        <v>44012</v>
      </c>
      <c r="D48" s="65">
        <v>0</v>
      </c>
      <c r="E48" s="65">
        <v>0.87788356894605202</v>
      </c>
      <c r="F48" s="65">
        <v>0.62535329589890298</v>
      </c>
      <c r="G48" s="65">
        <v>0.64371558421594</v>
      </c>
      <c r="H48" s="65">
        <v>0.14455319098616801</v>
      </c>
      <c r="I48" s="65">
        <v>0.24648894950315101</v>
      </c>
      <c r="J48" s="100">
        <v>4.7839722928335101E-3</v>
      </c>
      <c r="K48" s="100">
        <v>1.16986130182473E-2</v>
      </c>
      <c r="L48" s="100">
        <v>5.8200066824337102E-3</v>
      </c>
      <c r="M48" s="65">
        <v>0.59106500186205702</v>
      </c>
      <c r="N48" s="65">
        <v>1.4453764156979201</v>
      </c>
      <c r="O48" s="65">
        <v>0.54008622985260601</v>
      </c>
      <c r="P48" s="110">
        <v>3.7286458128185901E-2</v>
      </c>
      <c r="Q48" s="110">
        <v>1.9408465582236301E-2</v>
      </c>
      <c r="R48" s="65">
        <v>0.71848529162511399</v>
      </c>
      <c r="S48" s="65">
        <v>0.55249370470542403</v>
      </c>
      <c r="T48" s="100">
        <v>0.70566763801534704</v>
      </c>
      <c r="U48" s="100">
        <v>14.8683672604149</v>
      </c>
      <c r="V48" s="100">
        <v>60.320624070105801</v>
      </c>
      <c r="W48" s="49">
        <v>0.16241376814689321</v>
      </c>
      <c r="X48" s="58">
        <v>1.52</v>
      </c>
      <c r="Y48" s="49">
        <f>59.29/50.74</f>
        <v>1.1685061095782419</v>
      </c>
      <c r="Z48" s="58">
        <v>2.9</v>
      </c>
      <c r="AA48" s="49">
        <v>0.51467059145882599</v>
      </c>
      <c r="AB48" s="68">
        <v>0.61543268150494101</v>
      </c>
    </row>
    <row r="49" spans="1:28" ht="18" customHeight="1">
      <c r="A49" s="128"/>
      <c r="B49" t="s">
        <v>212</v>
      </c>
      <c r="C49" s="48">
        <v>44012</v>
      </c>
      <c r="D49" s="65">
        <v>1.2283547398229</v>
      </c>
      <c r="E49" s="77">
        <v>1.11160232076485</v>
      </c>
      <c r="F49" s="77">
        <v>0.207455007758549</v>
      </c>
      <c r="G49" s="65">
        <v>0.18382761757941801</v>
      </c>
      <c r="H49" s="65">
        <v>1.74982866861015E-2</v>
      </c>
      <c r="I49" s="65">
        <v>1.52185757418537E-2</v>
      </c>
      <c r="J49" s="100">
        <v>5.21623187770717E-3</v>
      </c>
      <c r="K49" s="100">
        <v>1.31161240705868E-2</v>
      </c>
      <c r="L49" s="100">
        <v>1.02477619736794E-2</v>
      </c>
      <c r="M49" s="65">
        <v>0.60230386281533699</v>
      </c>
      <c r="N49" s="65">
        <v>1.51448255715812</v>
      </c>
      <c r="O49" s="65">
        <v>0.22624144437712801</v>
      </c>
      <c r="P49" s="110">
        <v>2.7092831006365601</v>
      </c>
      <c r="Q49" s="110">
        <v>0.34275427386819202</v>
      </c>
      <c r="R49" s="65">
        <v>0.421933248917437</v>
      </c>
      <c r="S49" s="65">
        <v>0.20878498792185499</v>
      </c>
      <c r="T49" s="100">
        <v>2.4432251876603299</v>
      </c>
      <c r="U49" s="100">
        <v>2.8348624466122399</v>
      </c>
      <c r="V49" s="100">
        <v>186.27646204867</v>
      </c>
      <c r="W49" s="49">
        <v>0.14523869237427692</v>
      </c>
      <c r="X49" s="58">
        <v>1.63</v>
      </c>
      <c r="Y49" s="49">
        <f>50.83/49.24</f>
        <v>1.0322908204711616</v>
      </c>
      <c r="Z49" s="58">
        <v>2.1</v>
      </c>
      <c r="AA49" s="49">
        <v>0.70381324513618682</v>
      </c>
      <c r="AB49" s="68">
        <v>0.86429665519877685</v>
      </c>
    </row>
    <row r="50" spans="1:28" ht="18" customHeight="1">
      <c r="A50" s="128"/>
      <c r="B50" t="s">
        <v>90</v>
      </c>
      <c r="C50" s="48">
        <v>44012</v>
      </c>
      <c r="D50" s="65">
        <v>0</v>
      </c>
      <c r="E50" s="65">
        <v>0.74951730480335799</v>
      </c>
      <c r="F50" s="65">
        <v>0.63630541966796295</v>
      </c>
      <c r="G50" s="65">
        <v>0.20993335693287901</v>
      </c>
      <c r="H50" s="65">
        <v>1.2734597448170699</v>
      </c>
      <c r="I50" s="65">
        <v>1.2731750111584801</v>
      </c>
      <c r="J50" s="100">
        <v>1.5967121496008901E-2</v>
      </c>
      <c r="K50" s="100">
        <v>0.17664770397703899</v>
      </c>
      <c r="L50" s="100">
        <v>1.7362778951167699E-2</v>
      </c>
      <c r="M50" s="65">
        <v>0.90961036494375003</v>
      </c>
      <c r="N50" s="65">
        <v>10.063215371737</v>
      </c>
      <c r="O50" s="65">
        <v>0.90173154586345905</v>
      </c>
      <c r="P50" s="110">
        <v>6.4486129720609302</v>
      </c>
      <c r="Q50" s="110">
        <v>1.25411835419863E-2</v>
      </c>
      <c r="R50" s="65">
        <v>2.2857417696581601</v>
      </c>
      <c r="S50" s="65">
        <v>1</v>
      </c>
      <c r="T50" s="100">
        <v>1.0884291551353</v>
      </c>
      <c r="U50" s="100">
        <v>7.8447710926076901</v>
      </c>
      <c r="V50" s="100">
        <v>6.1615811053891303</v>
      </c>
      <c r="W50" s="49">
        <v>0.30888491255291811</v>
      </c>
      <c r="X50" s="58">
        <v>1.17</v>
      </c>
      <c r="Y50" s="49">
        <f>7.6/7.98</f>
        <v>0.95238095238095233</v>
      </c>
      <c r="Z50" s="58">
        <v>2.4</v>
      </c>
      <c r="AA50" s="49">
        <v>0.38932146829810899</v>
      </c>
      <c r="AB50" s="68">
        <v>0.43050430504305037</v>
      </c>
    </row>
    <row r="51" spans="1:28" ht="18" customHeight="1">
      <c r="A51" s="128"/>
      <c r="B51" t="s">
        <v>91</v>
      </c>
      <c r="C51" s="48">
        <v>44012</v>
      </c>
      <c r="D51" s="65">
        <v>0</v>
      </c>
      <c r="E51" s="65">
        <v>0.71853645642273001</v>
      </c>
      <c r="F51" s="65">
        <v>0.49258459852658498</v>
      </c>
      <c r="G51" s="65">
        <v>0.49151084757423602</v>
      </c>
      <c r="H51" s="65">
        <v>0.302154938692693</v>
      </c>
      <c r="I51" s="65">
        <v>-0.53995907015794697</v>
      </c>
      <c r="J51" s="100">
        <v>-1.0265791552553799E-2</v>
      </c>
      <c r="K51" s="100">
        <v>-2.8511100811416501E-2</v>
      </c>
      <c r="L51" s="100">
        <v>-1.4912175819406801E-2</v>
      </c>
      <c r="M51" s="65">
        <v>0.63993703293128701</v>
      </c>
      <c r="N51" s="65">
        <v>1.77729200573177</v>
      </c>
      <c r="O51" s="65">
        <v>0.55049201911614798</v>
      </c>
      <c r="P51" s="110">
        <v>3.2387152546655203E-2</v>
      </c>
      <c r="Q51" s="110">
        <v>1.9012166143539101E-2</v>
      </c>
      <c r="R51" s="65">
        <v>0.630468244389638</v>
      </c>
      <c r="S51" s="65">
        <v>0.142495156450128</v>
      </c>
      <c r="T51" s="100">
        <v>1.0212817666107299</v>
      </c>
      <c r="U51" s="100">
        <v>19.3416015998787</v>
      </c>
      <c r="V51" s="100">
        <v>-35.820495790951298</v>
      </c>
      <c r="W51" s="49">
        <v>0.14937830937787697</v>
      </c>
      <c r="X51" s="58">
        <v>1.28</v>
      </c>
      <c r="Y51" s="49">
        <f>40.73/37.43</f>
        <v>1.0881645738712262</v>
      </c>
      <c r="Z51" s="58">
        <v>3.2</v>
      </c>
      <c r="AA51" s="49">
        <v>0.55691587877982984</v>
      </c>
      <c r="AB51" s="68">
        <v>0.59498596083796396</v>
      </c>
    </row>
    <row r="52" spans="1:28" ht="18" customHeight="1">
      <c r="A52" s="129"/>
      <c r="B52" s="3" t="s">
        <v>92</v>
      </c>
      <c r="C52" s="50">
        <v>44012</v>
      </c>
      <c r="D52" s="76">
        <v>0</v>
      </c>
      <c r="E52" s="76">
        <v>0.54973062122045002</v>
      </c>
      <c r="F52" s="76">
        <v>5.8427707531610702E-2</v>
      </c>
      <c r="G52" s="76">
        <v>0.63105530396596599</v>
      </c>
      <c r="H52" s="76">
        <v>4.5903664059283603E-2</v>
      </c>
      <c r="I52" s="76">
        <v>-7.4186908192671805E-2</v>
      </c>
      <c r="J52" s="101">
        <v>-2.1260680483355999E-3</v>
      </c>
      <c r="K52" s="101">
        <v>-4.0700567745063504E-3</v>
      </c>
      <c r="L52" s="101">
        <v>-2.2466054689009702E-3</v>
      </c>
      <c r="M52" s="76">
        <v>0.47763184492838701</v>
      </c>
      <c r="N52" s="76">
        <v>0.91435865737816302</v>
      </c>
      <c r="O52" s="76">
        <v>0.44801618420336298</v>
      </c>
      <c r="P52" s="111">
        <v>3.0551819441136899E-2</v>
      </c>
      <c r="Q52" s="111">
        <v>2.86582646470986E-2</v>
      </c>
      <c r="R52" s="76">
        <v>0.30632633456840902</v>
      </c>
      <c r="S52" s="76">
        <v>0.34432398530597602</v>
      </c>
      <c r="T52" s="101">
        <v>1.38299195098465</v>
      </c>
      <c r="U52" s="101">
        <v>25.208468231096401</v>
      </c>
      <c r="V52" s="101">
        <v>-339.79672216056201</v>
      </c>
      <c r="W52" s="71">
        <v>0.11541784987326943</v>
      </c>
      <c r="X52" s="61">
        <v>0.75</v>
      </c>
      <c r="Y52" s="71">
        <f>26/21.29</f>
        <v>1.2212306247064351</v>
      </c>
      <c r="Z52" s="61">
        <v>2.7</v>
      </c>
      <c r="AA52" s="71">
        <v>0.69331670830730785</v>
      </c>
      <c r="AB52" s="72">
        <v>0.82804930354529294</v>
      </c>
    </row>
    <row r="53" spans="1:28" ht="18" customHeight="1">
      <c r="A53" s="127" t="s">
        <v>36</v>
      </c>
      <c r="B53" s="2" t="s">
        <v>208</v>
      </c>
      <c r="C53" s="47">
        <v>44012</v>
      </c>
      <c r="D53" s="65">
        <v>1.32306790513121</v>
      </c>
      <c r="E53" s="77">
        <v>0.84227612949770003</v>
      </c>
      <c r="F53" s="77">
        <v>0.50063125619983695</v>
      </c>
      <c r="G53" s="65">
        <v>0.71173657100809395</v>
      </c>
      <c r="H53" s="65">
        <v>0.28780353200883002</v>
      </c>
      <c r="I53" s="65">
        <v>0.27612214863870399</v>
      </c>
      <c r="J53" s="100">
        <v>3.3129172874248103E-2</v>
      </c>
      <c r="K53" s="100">
        <v>0.10860285073438899</v>
      </c>
      <c r="L53" s="100">
        <v>5.1419553750164299E-2</v>
      </c>
      <c r="M53" s="65">
        <v>0.694951167025326</v>
      </c>
      <c r="N53" s="65">
        <v>2.2781636639895799</v>
      </c>
      <c r="O53" s="65">
        <v>0.48618907766087899</v>
      </c>
      <c r="P53" s="110">
        <v>0.68858065741972196</v>
      </c>
      <c r="Q53" s="110">
        <v>0.11998013573911601</v>
      </c>
      <c r="R53" s="65">
        <v>1.3276813880126099</v>
      </c>
      <c r="S53" s="65">
        <v>1.0642744479495201</v>
      </c>
      <c r="T53" s="100">
        <v>7.0945980753925104</v>
      </c>
      <c r="U53" s="100">
        <v>18.0379764532744</v>
      </c>
      <c r="V53" s="100">
        <v>65.326075949366995</v>
      </c>
      <c r="W53" s="64">
        <v>8.0649775704670343E-2</v>
      </c>
      <c r="X53" s="55">
        <v>0.47</v>
      </c>
      <c r="Y53" s="64">
        <f>95.94/85.27</f>
        <v>1.1251319338571597</v>
      </c>
      <c r="Z53" s="55">
        <v>1.9</v>
      </c>
      <c r="AA53" s="64">
        <v>0.84017819599980215</v>
      </c>
      <c r="AB53" s="73">
        <v>0.91244840117994097</v>
      </c>
    </row>
    <row r="54" spans="1:28" ht="18" customHeight="1">
      <c r="A54" s="128"/>
      <c r="B54" t="s">
        <v>209</v>
      </c>
      <c r="C54" s="48">
        <v>44012</v>
      </c>
      <c r="D54" s="65">
        <v>1.4186963297986099</v>
      </c>
      <c r="E54" s="77">
        <v>0.62677627356904897</v>
      </c>
      <c r="F54" s="77">
        <v>5.5037741038413301E-2</v>
      </c>
      <c r="G54" s="65">
        <v>0.81086348614524095</v>
      </c>
      <c r="H54" s="65">
        <v>0.291585458859418</v>
      </c>
      <c r="I54" s="65">
        <v>0.29031438013727601</v>
      </c>
      <c r="J54" s="100">
        <v>1.9254330257286401E-2</v>
      </c>
      <c r="K54" s="100">
        <v>5.3251678686893802E-2</v>
      </c>
      <c r="L54" s="100">
        <v>2.7222455599093701E-2</v>
      </c>
      <c r="M54" s="65">
        <v>0.638427731630829</v>
      </c>
      <c r="N54" s="65">
        <v>1.76569883113653</v>
      </c>
      <c r="O54" s="65">
        <v>0.43989901188351499</v>
      </c>
      <c r="P54" s="110">
        <v>0.83617940905548005</v>
      </c>
      <c r="Q54" s="110">
        <v>6.6322344239998998E-2</v>
      </c>
      <c r="R54" s="65">
        <v>0.63285282078661598</v>
      </c>
      <c r="S54" s="65">
        <v>0.547428368037017</v>
      </c>
      <c r="T54" s="100">
        <v>2.8231335162272999</v>
      </c>
      <c r="U54" s="100">
        <v>15.3909938056096</v>
      </c>
      <c r="V54" s="100">
        <v>53.014920577933403</v>
      </c>
      <c r="W54" s="49">
        <v>8.3140257002592505E-2</v>
      </c>
      <c r="X54" s="58">
        <v>0.66</v>
      </c>
      <c r="Y54" s="49">
        <f>41.79/36.65</f>
        <v>1.1402455661664392</v>
      </c>
      <c r="Z54" s="58">
        <v>2.5</v>
      </c>
      <c r="AA54" s="49">
        <v>0.73648647583394256</v>
      </c>
      <c r="AB54" s="68">
        <v>0.7470870687685629</v>
      </c>
    </row>
    <row r="55" spans="1:28" ht="18" customHeight="1">
      <c r="A55" s="128"/>
      <c r="B55" t="s">
        <v>210</v>
      </c>
      <c r="C55" s="48">
        <v>44012</v>
      </c>
      <c r="D55" s="65">
        <v>1.57140250022812</v>
      </c>
      <c r="E55" s="77">
        <v>0.92864312437266106</v>
      </c>
      <c r="F55" s="77">
        <v>0.43461994707546298</v>
      </c>
      <c r="G55" s="65">
        <v>0.55472161572052403</v>
      </c>
      <c r="H55" s="65">
        <v>9.3067685589519597E-2</v>
      </c>
      <c r="I55" s="65">
        <v>7.3280567685589507E-2</v>
      </c>
      <c r="J55" s="100">
        <v>7.8079562638129502E-3</v>
      </c>
      <c r="K55" s="100">
        <v>1.7561645627575301E-2</v>
      </c>
      <c r="L55" s="100">
        <v>9.0976702353978908E-3</v>
      </c>
      <c r="M55" s="65">
        <v>0.55539723159241505</v>
      </c>
      <c r="N55" s="65">
        <v>1.24919877035777</v>
      </c>
      <c r="O55" s="65">
        <v>0.37291333415364403</v>
      </c>
      <c r="P55" s="110">
        <v>0.87834112429581601</v>
      </c>
      <c r="Q55" s="110">
        <v>0.106548796091659</v>
      </c>
      <c r="R55" s="65">
        <v>0.74059965042800102</v>
      </c>
      <c r="S55" s="65">
        <v>0.38094384439564299</v>
      </c>
      <c r="T55" s="100">
        <v>5.3167315408463596</v>
      </c>
      <c r="U55" s="100">
        <v>22.1854553842794</v>
      </c>
      <c r="V55" s="100">
        <v>302.746772916201</v>
      </c>
      <c r="W55" s="49">
        <v>9.3795665939489584E-2</v>
      </c>
      <c r="X55" s="58">
        <v>0.95</v>
      </c>
      <c r="Y55" s="49">
        <f>114.71/105.69</f>
        <v>1.0853439303623804</v>
      </c>
      <c r="Z55" s="58">
        <v>1.9</v>
      </c>
      <c r="AA55" s="49">
        <v>0.93295918367346942</v>
      </c>
      <c r="AB55" s="68">
        <v>1.0821399238286171</v>
      </c>
    </row>
    <row r="56" spans="1:28" ht="18" customHeight="1">
      <c r="A56" s="128"/>
      <c r="B56" t="s">
        <v>211</v>
      </c>
      <c r="C56" s="48">
        <v>44012</v>
      </c>
      <c r="D56" s="65">
        <v>2.6234824546815201</v>
      </c>
      <c r="E56" s="77">
        <v>1.8263761849326401</v>
      </c>
      <c r="F56" s="77">
        <v>0.96757026442707394</v>
      </c>
      <c r="G56" s="65">
        <v>0.48821743530432199</v>
      </c>
      <c r="H56" s="65">
        <v>0.20109874222929</v>
      </c>
      <c r="I56" s="65">
        <v>0.16712447592887</v>
      </c>
      <c r="J56" s="100">
        <v>1.8768366535158201E-2</v>
      </c>
      <c r="K56" s="100">
        <v>3.8694560669456E-2</v>
      </c>
      <c r="L56" s="100">
        <v>2.2544080604534E-2</v>
      </c>
      <c r="M56" s="65">
        <v>0.51496111571119996</v>
      </c>
      <c r="N56" s="65">
        <v>1.06169037656903</v>
      </c>
      <c r="O56" s="65">
        <v>0.40856809138241601</v>
      </c>
      <c r="P56" s="110">
        <v>1.4153877634540599</v>
      </c>
      <c r="Q56" s="110">
        <v>0.112301722598347</v>
      </c>
      <c r="R56" s="65">
        <v>4.7386934673366801</v>
      </c>
      <c r="S56" s="65">
        <v>4.0628140703517497</v>
      </c>
      <c r="T56" s="100">
        <v>4.6754175732217496</v>
      </c>
      <c r="U56" s="100">
        <v>20.193450918027999</v>
      </c>
      <c r="V56" s="100">
        <v>120.828806228373</v>
      </c>
      <c r="W56" s="49">
        <v>8.9269878714899289E-2</v>
      </c>
      <c r="X56" s="58">
        <v>1.01</v>
      </c>
      <c r="Y56" s="49">
        <f>450.72/431.16</f>
        <v>1.0453659894238798</v>
      </c>
      <c r="Z56" s="58">
        <v>1.7</v>
      </c>
      <c r="AA56" s="49">
        <v>1</v>
      </c>
      <c r="AB56" s="68">
        <v>1.2101799911802544</v>
      </c>
    </row>
    <row r="57" spans="1:28" ht="18" customHeight="1">
      <c r="A57" s="128"/>
      <c r="B57" t="s">
        <v>108</v>
      </c>
      <c r="C57" s="48">
        <v>44012</v>
      </c>
      <c r="D57" s="65">
        <v>1.0913970130678201</v>
      </c>
      <c r="E57" s="65">
        <v>0.83828562538892304</v>
      </c>
      <c r="F57" s="65">
        <v>0.36076540136900997</v>
      </c>
      <c r="G57" s="65">
        <v>0.84206722081676899</v>
      </c>
      <c r="H57" s="65">
        <v>0.17835200578243501</v>
      </c>
      <c r="I57" s="65">
        <v>9.7488254427177401E-2</v>
      </c>
      <c r="J57" s="100">
        <v>2.21519637028064E-2</v>
      </c>
      <c r="K57" s="100">
        <v>-0.60414333706606904</v>
      </c>
      <c r="L57" s="100">
        <v>4.3511003263325201E-2</v>
      </c>
      <c r="M57" s="65">
        <v>1.0366667351002801</v>
      </c>
      <c r="N57" s="65">
        <v>-28.272676371780499</v>
      </c>
      <c r="O57" s="65">
        <v>1.06160107612182</v>
      </c>
      <c r="P57" s="110">
        <v>0.44389187454880802</v>
      </c>
      <c r="Q57" s="110">
        <v>0.22722700117021399</v>
      </c>
      <c r="R57" s="65">
        <v>0.788127936393205</v>
      </c>
      <c r="S57" s="65">
        <v>0.91459360311819304</v>
      </c>
      <c r="T57" s="100">
        <v>-24.491462458006701</v>
      </c>
      <c r="U57" s="100">
        <v>3.9520917916516001</v>
      </c>
      <c r="V57" s="100">
        <v>40.539158433734897</v>
      </c>
      <c r="W57" s="49">
        <v>0.14381108514067442</v>
      </c>
      <c r="X57" s="58">
        <v>1.41</v>
      </c>
      <c r="Y57" s="49">
        <f>147.9/136.32</f>
        <v>1.0849471830985917</v>
      </c>
      <c r="Z57" s="58">
        <v>1.9</v>
      </c>
      <c r="AA57" s="49">
        <v>0.64261124535406977</v>
      </c>
      <c r="AB57" s="68">
        <v>0.72142116136426426</v>
      </c>
    </row>
    <row r="58" spans="1:28" ht="18" customHeight="1">
      <c r="A58" s="128"/>
      <c r="B58" t="s">
        <v>109</v>
      </c>
      <c r="C58" s="48">
        <v>44012</v>
      </c>
      <c r="D58" s="65">
        <v>1.2237430422483799</v>
      </c>
      <c r="E58" s="65">
        <v>1.1266995163792299</v>
      </c>
      <c r="F58" s="65">
        <v>0.58390364084314195</v>
      </c>
      <c r="G58" s="65">
        <v>0.22347719399538099</v>
      </c>
      <c r="H58" s="65">
        <v>7.3217378752886794E-2</v>
      </c>
      <c r="I58" s="65">
        <v>4.3519053117782897E-2</v>
      </c>
      <c r="J58" s="100">
        <v>1.7645251437517301E-2</v>
      </c>
      <c r="K58" s="100">
        <v>4.8132183908045897E-2</v>
      </c>
      <c r="L58" s="100">
        <v>4.1870382734928602E-2</v>
      </c>
      <c r="M58" s="65">
        <v>0.63340014923844501</v>
      </c>
      <c r="N58" s="65">
        <v>1.72776979565772</v>
      </c>
      <c r="O58" s="65">
        <v>0.40005746575998402</v>
      </c>
      <c r="P58" s="110">
        <v>8.0231615518239696</v>
      </c>
      <c r="Q58" s="110">
        <v>0.405460371340366</v>
      </c>
      <c r="R58" s="65">
        <v>0.13402136258660499</v>
      </c>
      <c r="S58" s="65">
        <v>0.93672590199246097</v>
      </c>
      <c r="T58" s="100">
        <v>1.5665206489463599</v>
      </c>
      <c r="U58" s="100">
        <v>1.4163806791281699</v>
      </c>
      <c r="V58" s="100">
        <v>32.546220049751199</v>
      </c>
      <c r="W58" s="49">
        <v>0.13462366124422798</v>
      </c>
      <c r="X58" s="58">
        <v>0.61</v>
      </c>
      <c r="Y58" s="49">
        <f>85.34/59.98</f>
        <v>1.4228076025341783</v>
      </c>
      <c r="Z58" s="58">
        <v>1.6</v>
      </c>
      <c r="AA58" s="49">
        <v>0.87234043575402709</v>
      </c>
      <c r="AB58" s="68">
        <v>1.2375852283382758</v>
      </c>
    </row>
    <row r="59" spans="1:28" ht="18" customHeight="1">
      <c r="A59" s="128"/>
      <c r="B59" t="s">
        <v>110</v>
      </c>
      <c r="C59" s="48">
        <v>44012</v>
      </c>
      <c r="D59" s="65">
        <v>1.09497788186312</v>
      </c>
      <c r="E59" s="65">
        <v>0.93832943013270798</v>
      </c>
      <c r="F59" s="65">
        <v>0.28857663283892698</v>
      </c>
      <c r="G59" s="65">
        <v>0.32407774692582297</v>
      </c>
      <c r="H59" s="65">
        <v>1.98333994446648E-2</v>
      </c>
      <c r="I59" s="65">
        <v>-9.1233637445458093E-3</v>
      </c>
      <c r="J59" s="100">
        <v>-9.9210628477763808E-4</v>
      </c>
      <c r="K59" s="100">
        <v>-4.1137542478983996E-3</v>
      </c>
      <c r="L59" s="100">
        <v>-1.2926577042399101E-3</v>
      </c>
      <c r="M59" s="65">
        <v>0.75883190268731304</v>
      </c>
      <c r="N59" s="65">
        <v>3.1464854230012498</v>
      </c>
      <c r="O59" s="65">
        <v>0.68369540620049696</v>
      </c>
      <c r="P59" s="110">
        <v>2.6649048625792799</v>
      </c>
      <c r="Q59" s="110">
        <v>0.108743475822801</v>
      </c>
      <c r="R59" s="65">
        <v>0.187227290757635</v>
      </c>
      <c r="S59" s="65">
        <v>0.69915254237288105</v>
      </c>
      <c r="T59" s="100">
        <v>5.4036548023609301</v>
      </c>
      <c r="U59" s="100">
        <v>11.984067433558099</v>
      </c>
      <c r="V59" s="100">
        <v>208.65</v>
      </c>
      <c r="W59" s="49">
        <v>0.1205317348910917</v>
      </c>
      <c r="X59" s="58">
        <v>1.33</v>
      </c>
      <c r="Y59" s="49">
        <f>184.17/159.98</f>
        <v>1.1512064008000999</v>
      </c>
      <c r="Z59" s="58">
        <v>1.8</v>
      </c>
      <c r="AA59" s="49">
        <v>0.85413282852246808</v>
      </c>
      <c r="AB59" s="68">
        <v>0.88288741536193072</v>
      </c>
    </row>
    <row r="60" spans="1:28" ht="18" customHeight="1">
      <c r="A60" s="128"/>
      <c r="B60" t="s">
        <v>207</v>
      </c>
      <c r="C60" s="48">
        <v>44012</v>
      </c>
      <c r="D60" s="65">
        <v>1.24801479386489</v>
      </c>
      <c r="E60" s="77">
        <v>0.91863374306537504</v>
      </c>
      <c r="F60" s="77">
        <v>0.101789404982051</v>
      </c>
      <c r="G60" s="65">
        <v>0.64239746945898701</v>
      </c>
      <c r="H60" s="65">
        <v>0.21487783595113399</v>
      </c>
      <c r="I60" s="65">
        <v>0.19775305410122099</v>
      </c>
      <c r="J60" s="100">
        <v>2.28943048364692E-2</v>
      </c>
      <c r="K60" s="100">
        <v>5.7575661342055898E-2</v>
      </c>
      <c r="L60" s="100">
        <v>3.2399184264193102E-2</v>
      </c>
      <c r="M60" s="65">
        <v>0.60236140926884696</v>
      </c>
      <c r="N60" s="65">
        <v>1.5148464543173801</v>
      </c>
      <c r="O60" s="65">
        <v>0.28466606088141699</v>
      </c>
      <c r="P60" s="110">
        <v>1.0419365837026899</v>
      </c>
      <c r="Q60" s="110">
        <v>0.11577219345877</v>
      </c>
      <c r="R60" s="65">
        <v>1.29506659163383</v>
      </c>
      <c r="S60" s="65">
        <v>1.0467079347214401</v>
      </c>
      <c r="T60" s="100">
        <v>5.8458624575248397</v>
      </c>
      <c r="U60" s="100">
        <v>20.078573617473801</v>
      </c>
      <c r="V60" s="100">
        <v>101.533570284059</v>
      </c>
      <c r="W60" s="49">
        <v>7.7188205678050154E-2</v>
      </c>
      <c r="X60" s="58">
        <v>0.68</v>
      </c>
      <c r="Y60" s="49">
        <f>165.06/146.44</f>
        <v>1.127151051625239</v>
      </c>
      <c r="Z60" s="58">
        <v>1.9</v>
      </c>
      <c r="AA60" s="49">
        <v>0.90431489628689143</v>
      </c>
      <c r="AB60" s="68">
        <v>1.0091131170413812</v>
      </c>
    </row>
    <row r="61" spans="1:28" ht="18" customHeight="1">
      <c r="A61" s="128"/>
      <c r="B61" t="s">
        <v>111</v>
      </c>
      <c r="C61" s="48">
        <v>44012</v>
      </c>
      <c r="D61" s="65">
        <v>1.1248352227788001</v>
      </c>
      <c r="E61" s="65">
        <v>0.90739520168731802</v>
      </c>
      <c r="F61" s="65">
        <v>0.183561824413393</v>
      </c>
      <c r="G61" s="65">
        <v>0.27466772609072498</v>
      </c>
      <c r="H61" s="65">
        <v>0.107519503033805</v>
      </c>
      <c r="I61" s="65">
        <v>8.3646344986997898E-2</v>
      </c>
      <c r="J61" s="100">
        <v>1.29754441400406E-2</v>
      </c>
      <c r="K61" s="100">
        <v>3.1498633155167398E-2</v>
      </c>
      <c r="L61" s="100">
        <v>2.00476553693291E-2</v>
      </c>
      <c r="M61" s="65">
        <v>0.588063263693967</v>
      </c>
      <c r="N61" s="65">
        <v>1.4275572238769401</v>
      </c>
      <c r="O61" s="65">
        <v>0.42810808288220997</v>
      </c>
      <c r="P61" s="110">
        <v>1.0536971495984999</v>
      </c>
      <c r="Q61" s="110">
        <v>0.15512266724932899</v>
      </c>
      <c r="R61" s="65">
        <v>0.13388471540017299</v>
      </c>
      <c r="S61" s="65">
        <v>0.73428648502832405</v>
      </c>
      <c r="T61" s="100">
        <v>2.5889629659852802</v>
      </c>
      <c r="U61" s="100">
        <v>6.8751329095637104</v>
      </c>
      <c r="V61" s="100">
        <v>82.192867012089806</v>
      </c>
      <c r="W61" s="49">
        <v>0.12726637113641981</v>
      </c>
      <c r="X61" s="58">
        <v>1.32</v>
      </c>
      <c r="Y61" s="49">
        <f>228.47/182.43</f>
        <v>1.2523707723510387</v>
      </c>
      <c r="Z61" s="58">
        <v>1.8</v>
      </c>
      <c r="AA61" s="49">
        <v>0.85062475343417021</v>
      </c>
      <c r="AB61" s="68">
        <v>0.94903731902552324</v>
      </c>
    </row>
    <row r="62" spans="1:28" ht="18" customHeight="1">
      <c r="A62" s="129"/>
      <c r="B62" s="3" t="s">
        <v>112</v>
      </c>
      <c r="C62" s="50">
        <v>44012</v>
      </c>
      <c r="D62" s="76">
        <v>1.2913727618014099</v>
      </c>
      <c r="E62" s="76">
        <v>1.1481280520889801</v>
      </c>
      <c r="F62" s="76">
        <v>0.536082474226804</v>
      </c>
      <c r="G62" s="76">
        <v>0.351943076081007</v>
      </c>
      <c r="H62" s="76">
        <v>0.15489874110563701</v>
      </c>
      <c r="I62" s="76">
        <v>0.10125889436234201</v>
      </c>
      <c r="J62" s="101">
        <v>1.4241724403387199E-2</v>
      </c>
      <c r="K62" s="101">
        <v>3.1726976504887601E-2</v>
      </c>
      <c r="L62" s="101">
        <v>2.28761101641697E-2</v>
      </c>
      <c r="M62" s="76">
        <v>0.55111624326404896</v>
      </c>
      <c r="N62" s="76">
        <v>1.227748242154</v>
      </c>
      <c r="O62" s="76">
        <v>0.40808039792914402</v>
      </c>
      <c r="P62" s="111">
        <v>0.90133201776023597</v>
      </c>
      <c r="Q62" s="111">
        <v>0.14064665127020701</v>
      </c>
      <c r="R62" s="76">
        <v>0.19430760810071099</v>
      </c>
      <c r="S62" s="76">
        <v>0.76901408450704201</v>
      </c>
      <c r="T62" s="101">
        <v>2.9565014577259401</v>
      </c>
      <c r="U62" s="101">
        <v>9.43588396278051</v>
      </c>
      <c r="V62" s="101">
        <v>93.185729729729701</v>
      </c>
      <c r="W62" s="71">
        <v>9.7581395842473162E-2</v>
      </c>
      <c r="X62" s="61">
        <v>1.26</v>
      </c>
      <c r="Y62" s="71">
        <f>138.69/112.39</f>
        <v>1.2340065842156775</v>
      </c>
      <c r="Z62" s="61">
        <v>2.1</v>
      </c>
      <c r="AA62" s="71">
        <v>0.92945108939359689</v>
      </c>
      <c r="AB62" s="72">
        <v>1.1123475093903614</v>
      </c>
    </row>
    <row r="63" spans="1:28" ht="18" customHeight="1">
      <c r="A63" s="127" t="s">
        <v>94</v>
      </c>
      <c r="B63" s="2" t="s">
        <v>113</v>
      </c>
      <c r="C63" s="47">
        <v>44012</v>
      </c>
      <c r="D63" s="75">
        <v>0.96006274751838705</v>
      </c>
      <c r="E63" s="75">
        <v>0.80532839582368898</v>
      </c>
      <c r="F63" s="75">
        <v>0.20269505734711701</v>
      </c>
      <c r="G63" s="75">
        <v>0.61411633330048898</v>
      </c>
      <c r="H63" s="75">
        <v>0.23673925181462799</v>
      </c>
      <c r="I63" s="75">
        <v>0.154366604263145</v>
      </c>
      <c r="J63" s="99">
        <v>1.60267886066582E-2</v>
      </c>
      <c r="K63" s="99">
        <v>7.4963714372298498E-2</v>
      </c>
      <c r="L63" s="99">
        <v>2.43225499561667E-2</v>
      </c>
      <c r="M63" s="75">
        <v>0.786206049942201</v>
      </c>
      <c r="N63" s="75">
        <v>3.6774008325757199</v>
      </c>
      <c r="O63" s="75">
        <v>0.628763611171967</v>
      </c>
      <c r="P63" s="109">
        <v>0.264331293137127</v>
      </c>
      <c r="Q63" s="109">
        <v>0.103822900575941</v>
      </c>
      <c r="R63" s="75">
        <v>0.483725818635661</v>
      </c>
      <c r="S63" s="75">
        <v>0.58127376425855504</v>
      </c>
      <c r="T63" s="99">
        <v>3.78271209148763</v>
      </c>
      <c r="U63" s="99">
        <v>7.7894275298058897</v>
      </c>
      <c r="V63" s="99">
        <v>50.460574468084999</v>
      </c>
      <c r="W63" s="64">
        <v>6.1889107263383446E-2</v>
      </c>
      <c r="X63" s="55">
        <v>0.43</v>
      </c>
      <c r="Y63" s="64">
        <f>61.17/60.59</f>
        <v>1.0095725367222315</v>
      </c>
      <c r="Z63" s="55">
        <v>2.5</v>
      </c>
      <c r="AA63" s="64">
        <v>0.88819076848719192</v>
      </c>
      <c r="AB63" s="73">
        <v>0.97299684080480064</v>
      </c>
    </row>
    <row r="64" spans="1:28" ht="18" customHeight="1">
      <c r="A64" s="128"/>
      <c r="B64" t="s">
        <v>114</v>
      </c>
      <c r="C64" s="48">
        <v>44012</v>
      </c>
      <c r="D64" s="65">
        <v>0.81410413277864901</v>
      </c>
      <c r="E64" s="65">
        <v>0.56567677669176097</v>
      </c>
      <c r="F64" s="65">
        <v>0.24386416962961799</v>
      </c>
      <c r="G64" s="65">
        <v>0.56085470085470002</v>
      </c>
      <c r="H64" s="65">
        <v>8.6251526251526198E-2</v>
      </c>
      <c r="I64" s="65">
        <v>3.12820512820512E-2</v>
      </c>
      <c r="J64" s="100">
        <v>2.3380264209761602E-3</v>
      </c>
      <c r="K64" s="100">
        <v>7.28271251193887E-3</v>
      </c>
      <c r="L64" s="100">
        <v>5.2212554004878401E-3</v>
      </c>
      <c r="M64" s="65">
        <v>0.67896214258858401</v>
      </c>
      <c r="N64" s="65">
        <v>2.1148974393960001</v>
      </c>
      <c r="O64" s="65">
        <v>0.465822815563464</v>
      </c>
      <c r="P64" s="110">
        <v>0.26653735753757202</v>
      </c>
      <c r="Q64" s="110">
        <v>7.4740188867270907E-2</v>
      </c>
      <c r="R64" s="65">
        <v>0.29448107448107402</v>
      </c>
      <c r="S64" s="65">
        <v>0.63230781988556195</v>
      </c>
      <c r="T64" s="100">
        <v>1.20535373175057</v>
      </c>
      <c r="U64" s="100">
        <v>5.1774578754578702</v>
      </c>
      <c r="V64" s="100">
        <v>165.508899297423</v>
      </c>
      <c r="W64" s="49">
        <v>8.9107647837585569E-2</v>
      </c>
      <c r="X64" s="58">
        <v>0.64</v>
      </c>
      <c r="Y64" s="49">
        <v>1.1134020618556699</v>
      </c>
      <c r="Z64" s="58">
        <v>2.7</v>
      </c>
      <c r="AA64" s="49">
        <v>0.76280593583633771</v>
      </c>
      <c r="AB64" s="68">
        <v>0.90427759497457372</v>
      </c>
    </row>
    <row r="65" spans="1:28" ht="18" customHeight="1">
      <c r="A65" s="128"/>
      <c r="B65" s="8" t="s">
        <v>145</v>
      </c>
      <c r="C65" s="48">
        <v>44012</v>
      </c>
      <c r="D65" s="65">
        <v>1.03229378114043</v>
      </c>
      <c r="E65" s="65">
        <v>0.79830226979147401</v>
      </c>
      <c r="F65" s="65">
        <v>0.33124192655471402</v>
      </c>
      <c r="G65" s="65">
        <v>0.41014263074484902</v>
      </c>
      <c r="H65" s="65">
        <v>0.19080824088748</v>
      </c>
      <c r="I65" s="65">
        <v>8.8431061806656094E-2</v>
      </c>
      <c r="J65" s="100">
        <v>7.2397955211874303E-3</v>
      </c>
      <c r="K65" s="100">
        <v>2.79755339416424E-2</v>
      </c>
      <c r="L65" s="100">
        <v>1.1504317893592599E-2</v>
      </c>
      <c r="M65" s="65">
        <v>0.741209746477411</v>
      </c>
      <c r="N65" s="65">
        <v>2.8641331595307302</v>
      </c>
      <c r="O65" s="65">
        <v>0.65734409895207002</v>
      </c>
      <c r="P65" s="110">
        <v>0.22458712984054599</v>
      </c>
      <c r="Q65" s="110">
        <v>8.1869372291563894E-2</v>
      </c>
      <c r="R65" s="65">
        <v>0.45293185419968301</v>
      </c>
      <c r="S65" s="65">
        <v>0.60391882435269395</v>
      </c>
      <c r="T65" s="100">
        <v>2.0883345031585199</v>
      </c>
      <c r="U65" s="100">
        <v>6.6012551505546702</v>
      </c>
      <c r="V65" s="100">
        <v>74.648602150537599</v>
      </c>
      <c r="W65" s="49">
        <v>9.7056077494553611E-2</v>
      </c>
      <c r="X65" s="58">
        <v>0.26</v>
      </c>
      <c r="Y65" s="49">
        <v>1.3549034361675447</v>
      </c>
      <c r="Z65" s="58">
        <v>2.1</v>
      </c>
      <c r="AA65" s="49">
        <v>0.73567633652432118</v>
      </c>
      <c r="AB65" s="68">
        <v>0.7555931520134076</v>
      </c>
    </row>
    <row r="66" spans="1:28" ht="18" customHeight="1">
      <c r="A66" s="128"/>
      <c r="B66" t="s">
        <v>115</v>
      </c>
      <c r="C66" s="48">
        <v>44012</v>
      </c>
      <c r="D66" s="65">
        <v>1.0487257988012499</v>
      </c>
      <c r="E66" s="65">
        <v>0.76952265965245104</v>
      </c>
      <c r="F66" s="65">
        <v>0.47759906860419898</v>
      </c>
      <c r="G66" s="65">
        <v>0.61943296927168801</v>
      </c>
      <c r="H66" s="65">
        <v>4.6403712296983701E-2</v>
      </c>
      <c r="I66" s="65">
        <v>6.2248882349612298E-3</v>
      </c>
      <c r="J66" s="100">
        <v>5.8760997654902004E-4</v>
      </c>
      <c r="K66" s="100">
        <v>1.7461426122293399E-3</v>
      </c>
      <c r="L66" s="100">
        <v>-1.26823081800887E-3</v>
      </c>
      <c r="M66" s="65">
        <v>0.663481108339254</v>
      </c>
      <c r="N66" s="65">
        <v>1.97160137151565</v>
      </c>
      <c r="O66" s="65">
        <v>0.53347009205293505</v>
      </c>
      <c r="P66" s="110">
        <v>0.29781747703716099</v>
      </c>
      <c r="Q66" s="110">
        <v>9.4396871778161195E-2</v>
      </c>
      <c r="R66" s="65">
        <v>4.3970346896044302E-2</v>
      </c>
      <c r="S66" s="65">
        <v>-2.8635778635778601</v>
      </c>
      <c r="T66" s="100">
        <v>2.0443272116642301</v>
      </c>
      <c r="U66" s="100">
        <v>7.28789751717503</v>
      </c>
      <c r="V66" s="100">
        <v>1170.7676093272701</v>
      </c>
      <c r="W66" s="49">
        <v>9.9550829865721724E-2</v>
      </c>
      <c r="X66" s="58">
        <v>0.31</v>
      </c>
      <c r="Y66" s="49">
        <v>1.2375565610859729</v>
      </c>
      <c r="Z66" s="58">
        <v>2</v>
      </c>
      <c r="AA66" s="49">
        <v>0.94518558952381171</v>
      </c>
      <c r="AB66" s="68">
        <v>1.4045852891548134</v>
      </c>
    </row>
    <row r="67" spans="1:28" ht="18" customHeight="1">
      <c r="A67" s="128"/>
      <c r="B67" t="s">
        <v>116</v>
      </c>
      <c r="C67" s="48">
        <v>44012</v>
      </c>
      <c r="D67" s="65">
        <v>0.91727105101413597</v>
      </c>
      <c r="E67" s="65">
        <v>0.64904732636754703</v>
      </c>
      <c r="F67" s="65">
        <v>0.19016594960049099</v>
      </c>
      <c r="G67" s="65">
        <v>0.72525214792678305</v>
      </c>
      <c r="H67" s="65">
        <v>0.14138961524094101</v>
      </c>
      <c r="I67" s="65">
        <v>5.0616361598804602E-2</v>
      </c>
      <c r="J67" s="100">
        <v>4.4287558627902797E-3</v>
      </c>
      <c r="K67" s="100">
        <v>1.3035740054836599E-2</v>
      </c>
      <c r="L67" s="100">
        <v>7.2753317249698397E-3</v>
      </c>
      <c r="M67" s="65">
        <v>0.66026049582454904</v>
      </c>
      <c r="N67" s="65">
        <v>1.94343162249266</v>
      </c>
      <c r="O67" s="65">
        <v>0.54622050509680597</v>
      </c>
      <c r="P67" s="110">
        <v>0.199478390461997</v>
      </c>
      <c r="Q67" s="110">
        <v>8.7496527267081695E-2</v>
      </c>
      <c r="R67" s="65">
        <v>0.478520732162868</v>
      </c>
      <c r="S67" s="65">
        <v>0.65105386416861799</v>
      </c>
      <c r="T67" s="100">
        <v>1.81715272499879</v>
      </c>
      <c r="U67" s="100">
        <v>7.0558064998132197</v>
      </c>
      <c r="V67" s="100">
        <v>139.39774169741699</v>
      </c>
      <c r="W67" s="49">
        <v>8.9119271026672886E-2</v>
      </c>
      <c r="X67" s="58">
        <v>0.26</v>
      </c>
      <c r="Y67" s="49">
        <f>47.54/42.64</f>
        <v>1.1149155722326454</v>
      </c>
      <c r="Z67" s="58">
        <v>2.5</v>
      </c>
      <c r="AA67" s="49">
        <v>0.84932899552663688</v>
      </c>
      <c r="AB67" s="68">
        <v>0.91963896607833406</v>
      </c>
    </row>
    <row r="68" spans="1:28" ht="18" customHeight="1">
      <c r="A68" s="128"/>
      <c r="B68" t="s">
        <v>150</v>
      </c>
      <c r="C68" s="48">
        <v>44012</v>
      </c>
      <c r="D68" s="65">
        <v>4.9680301410111598</v>
      </c>
      <c r="E68" s="65">
        <v>4.5729790232153702</v>
      </c>
      <c r="F68" s="65">
        <v>4.1676343903340802</v>
      </c>
      <c r="G68" s="65">
        <v>0.61780268104120795</v>
      </c>
      <c r="H68" s="65">
        <v>0.19104901056812501</v>
      </c>
      <c r="I68" s="65">
        <v>6.0741896588410497E-2</v>
      </c>
      <c r="J68" s="100">
        <v>8.5179943127170095E-3</v>
      </c>
      <c r="K68" s="100">
        <v>-3.6357461260878701E-2</v>
      </c>
      <c r="L68" s="100">
        <v>1.2480421676765999E-2</v>
      </c>
      <c r="M68" s="65">
        <v>1.23428462872028</v>
      </c>
      <c r="N68" s="65">
        <v>-5.2683124601995299</v>
      </c>
      <c r="O68" s="65">
        <v>1.29958893168024</v>
      </c>
      <c r="P68" s="110">
        <v>0.28514857092006302</v>
      </c>
      <c r="Q68" s="110">
        <v>0.140232603707376</v>
      </c>
      <c r="R68" s="65">
        <v>0.29300659621249697</v>
      </c>
      <c r="S68" s="65">
        <v>0.66280167509864196</v>
      </c>
      <c r="T68" s="100">
        <v>-15.171651498565</v>
      </c>
      <c r="U68" s="100">
        <v>25.347063695914599</v>
      </c>
      <c r="V68" s="100">
        <v>417.29127866499198</v>
      </c>
      <c r="W68" s="49">
        <v>0.10893205421220303</v>
      </c>
      <c r="X68" s="58">
        <v>0.06</v>
      </c>
      <c r="Y68" s="49">
        <f>75/63.82</f>
        <v>1.1751801942964588</v>
      </c>
      <c r="Z68" s="58">
        <v>2.7</v>
      </c>
      <c r="AA68" s="49">
        <v>0.85245180165289258</v>
      </c>
      <c r="AB68" s="68">
        <v>1.3083037323134832</v>
      </c>
    </row>
    <row r="69" spans="1:28" ht="18" customHeight="1">
      <c r="A69" s="128"/>
      <c r="B69" t="s">
        <v>146</v>
      </c>
      <c r="C69" s="48">
        <v>44012</v>
      </c>
      <c r="D69" s="65">
        <v>0.650160599571734</v>
      </c>
      <c r="E69" s="65">
        <v>0.54162205567451804</v>
      </c>
      <c r="F69" s="65">
        <v>0.23594753747323299</v>
      </c>
      <c r="G69" s="65">
        <v>0.570107858243451</v>
      </c>
      <c r="H69" s="65">
        <v>0.17392141756548499</v>
      </c>
      <c r="I69" s="65">
        <v>7.2611710323574705E-2</v>
      </c>
      <c r="J69" s="100">
        <v>5.8749279269451902E-3</v>
      </c>
      <c r="K69" s="100">
        <v>2.8004754122715698E-2</v>
      </c>
      <c r="L69" s="100">
        <v>9.0477786204342207E-3</v>
      </c>
      <c r="M69" s="65">
        <v>0.79021676458213197</v>
      </c>
      <c r="N69" s="65">
        <v>3.7668251374238499</v>
      </c>
      <c r="O69" s="65">
        <v>0.70001782690079295</v>
      </c>
      <c r="P69" s="110">
        <v>0.199087388320104</v>
      </c>
      <c r="Q69" s="110">
        <v>8.0908821741908304E-2</v>
      </c>
      <c r="R69" s="65">
        <v>0.33686440677966101</v>
      </c>
      <c r="S69" s="65">
        <v>0.423098913664951</v>
      </c>
      <c r="T69" s="100">
        <v>0.78879746295498399</v>
      </c>
      <c r="U69" s="100">
        <v>2.04522177317026</v>
      </c>
      <c r="V69" s="100">
        <v>28.166555560477399</v>
      </c>
      <c r="W69" s="49">
        <v>0.13618969703532099</v>
      </c>
      <c r="X69" s="58">
        <v>1.02</v>
      </c>
      <c r="Y69" s="49">
        <f>11/9.66</f>
        <v>1.1387163561076605</v>
      </c>
      <c r="Z69" s="58">
        <v>3.5</v>
      </c>
      <c r="AA69" s="49">
        <v>0.65900131406044671</v>
      </c>
      <c r="AB69" s="68">
        <v>0.85726495726495722</v>
      </c>
    </row>
    <row r="70" spans="1:28" ht="18" customHeight="1">
      <c r="A70" s="128"/>
      <c r="B70" t="s">
        <v>151</v>
      </c>
      <c r="C70" s="48">
        <v>44012</v>
      </c>
      <c r="D70" s="65">
        <v>2.46484935437589</v>
      </c>
      <c r="E70" s="65">
        <v>2.1434720229555202</v>
      </c>
      <c r="F70" s="65">
        <v>0.59971305595408797</v>
      </c>
      <c r="G70" s="65">
        <v>0.573484069886947</v>
      </c>
      <c r="H70" s="65">
        <v>5.4470709146968103E-2</v>
      </c>
      <c r="I70" s="65">
        <v>6.9886947584789305E-2</v>
      </c>
      <c r="J70" s="100">
        <v>8.0000000000000002E-3</v>
      </c>
      <c r="K70" s="100">
        <v>1.5737097894006E-2</v>
      </c>
      <c r="L70" s="100">
        <v>9.3553761373830497E-3</v>
      </c>
      <c r="M70" s="65">
        <v>0.49164705882352899</v>
      </c>
      <c r="N70" s="65">
        <v>0.96713723675075203</v>
      </c>
      <c r="O70" s="65">
        <v>0.27329297006390801</v>
      </c>
      <c r="P70" s="110">
        <v>0.30674653215636799</v>
      </c>
      <c r="Q70" s="110">
        <v>0.114470588235294</v>
      </c>
      <c r="R70" s="65">
        <v>0.35971223021582699</v>
      </c>
      <c r="S70" s="65">
        <v>0.217142857142857</v>
      </c>
      <c r="T70" s="100">
        <v>0.62154362416107301</v>
      </c>
      <c r="U70" s="100">
        <v>2.7602158273381199</v>
      </c>
      <c r="V70" s="100">
        <v>39.4954411764705</v>
      </c>
      <c r="W70" s="49">
        <v>0.13539164200206566</v>
      </c>
      <c r="X70" s="58">
        <v>0.7</v>
      </c>
      <c r="Y70" s="49">
        <f>42.6/32.74</f>
        <v>1.3011606597434331</v>
      </c>
      <c r="Z70" s="58">
        <v>1.8</v>
      </c>
      <c r="AA70" s="49">
        <v>0.6274390319626213</v>
      </c>
      <c r="AB70" s="68">
        <v>0.69558360307382594</v>
      </c>
    </row>
    <row r="71" spans="1:28" ht="18" customHeight="1">
      <c r="A71" s="128"/>
      <c r="B71" t="s">
        <v>147</v>
      </c>
      <c r="C71" s="48">
        <v>44012</v>
      </c>
      <c r="D71" s="65">
        <v>2.2494065252790798</v>
      </c>
      <c r="E71" s="65">
        <v>1.7609228777147701</v>
      </c>
      <c r="F71" s="65">
        <v>1.1684585352455299</v>
      </c>
      <c r="G71" s="65">
        <v>0.74886033686943898</v>
      </c>
      <c r="H71" s="65">
        <v>4.1577193896114001E-2</v>
      </c>
      <c r="I71" s="65">
        <v>-8.8619063585711894E-2</v>
      </c>
      <c r="J71" s="100">
        <v>-3.6818427827641602E-3</v>
      </c>
      <c r="K71" s="100">
        <v>-8.8151806750120607E-3</v>
      </c>
      <c r="L71" s="100">
        <v>-5.1951274973165498E-3</v>
      </c>
      <c r="M71" s="65">
        <v>0.582329288700696</v>
      </c>
      <c r="N71" s="65">
        <v>1.3942306054670801</v>
      </c>
      <c r="O71" s="65">
        <v>0.53227314005916104</v>
      </c>
      <c r="P71" s="110">
        <v>4.6017776394570997E-2</v>
      </c>
      <c r="Q71" s="110">
        <v>4.1546848203864097E-2</v>
      </c>
      <c r="R71" s="65">
        <v>0.45457399071147703</v>
      </c>
      <c r="S71" s="65">
        <v>0.85611826927603996</v>
      </c>
      <c r="T71" s="100">
        <v>2.4032203014561802</v>
      </c>
      <c r="U71" s="100">
        <v>24.159587937762598</v>
      </c>
      <c r="V71" s="100">
        <v>-272.622920624698</v>
      </c>
      <c r="W71" s="49">
        <v>0.15059796365935069</v>
      </c>
      <c r="X71" s="58">
        <v>1.43</v>
      </c>
      <c r="Y71" s="49">
        <f>31.5/28.19</f>
        <v>1.1174175239446611</v>
      </c>
      <c r="Z71" s="58">
        <v>1.6</v>
      </c>
      <c r="AA71" s="49">
        <v>0.79799252816789601</v>
      </c>
      <c r="AB71" s="68">
        <v>1.0862511101622543</v>
      </c>
    </row>
    <row r="72" spans="1:28" ht="18" customHeight="1">
      <c r="A72" s="129"/>
      <c r="B72" s="3" t="s">
        <v>220</v>
      </c>
      <c r="C72" s="50">
        <v>44012</v>
      </c>
      <c r="D72" s="65">
        <v>0.833706551267416</v>
      </c>
      <c r="E72" s="77">
        <v>0.64482115370082305</v>
      </c>
      <c r="F72" s="77">
        <v>0.18918768420592</v>
      </c>
      <c r="G72" s="65">
        <v>0.56852250807482596</v>
      </c>
      <c r="H72" s="65">
        <v>7.7994931295546598E-3</v>
      </c>
      <c r="I72" s="65">
        <v>-2.7146873279168399E-2</v>
      </c>
      <c r="J72" s="100">
        <v>-6.21732309945725E-3</v>
      </c>
      <c r="K72" s="100">
        <v>-1.53933521900375E-2</v>
      </c>
      <c r="L72" s="100">
        <v>-6.2808292106997701E-3</v>
      </c>
      <c r="M72" s="65">
        <v>0.59610336834357303</v>
      </c>
      <c r="N72" s="65">
        <v>1.4758810092049599</v>
      </c>
      <c r="O72" s="65">
        <v>0.49140011033119702</v>
      </c>
      <c r="P72" s="110">
        <v>4.3436048788675601</v>
      </c>
      <c r="Q72" s="110">
        <v>0.22902538482132301</v>
      </c>
      <c r="R72" s="65">
        <v>0.14793080261629599</v>
      </c>
      <c r="S72" s="65">
        <v>9.8991380891252506E-2</v>
      </c>
      <c r="T72" s="100">
        <v>4.5076649033395997</v>
      </c>
      <c r="U72" s="100">
        <v>7.9494710707074603</v>
      </c>
      <c r="V72" s="100">
        <v>-292.83192170818501</v>
      </c>
      <c r="W72" s="71">
        <v>0.16677848613176746</v>
      </c>
      <c r="X72" s="61">
        <v>0.45</v>
      </c>
      <c r="Y72" s="71">
        <f>14.14/10.11</f>
        <v>1.3986152324431258</v>
      </c>
      <c r="Z72" s="61">
        <v>1.8</v>
      </c>
      <c r="AA72" s="71">
        <v>0.73645680819912152</v>
      </c>
      <c r="AB72" s="72">
        <v>0.87099567099567099</v>
      </c>
    </row>
    <row r="73" spans="1:28" ht="18" customHeight="1">
      <c r="A73" s="127" t="s">
        <v>71</v>
      </c>
      <c r="B73" s="2" t="s">
        <v>69</v>
      </c>
      <c r="C73" s="47">
        <v>44012</v>
      </c>
      <c r="D73" s="75">
        <v>1.24987775061124</v>
      </c>
      <c r="E73" s="75">
        <v>0.823145884270578</v>
      </c>
      <c r="F73" s="75">
        <v>0.70211898940505302</v>
      </c>
      <c r="G73" s="75">
        <v>0.209907223326706</v>
      </c>
      <c r="H73" s="75">
        <v>5.4174950298210699E-2</v>
      </c>
      <c r="I73" s="75">
        <v>1.7229953611663299E-2</v>
      </c>
      <c r="J73" s="99">
        <v>2.72715353349941E-3</v>
      </c>
      <c r="K73" s="99">
        <v>1.05530187721968E-2</v>
      </c>
      <c r="L73" s="99">
        <v>5.7993427411560002E-3</v>
      </c>
      <c r="M73" s="75">
        <v>0.74157598007080106</v>
      </c>
      <c r="N73" s="75">
        <v>2.8696093353627599</v>
      </c>
      <c r="O73" s="75">
        <v>0.51489047501845897</v>
      </c>
      <c r="P73" s="109">
        <v>0.28913584977965101</v>
      </c>
      <c r="Q73" s="109">
        <v>0.158279795463485</v>
      </c>
      <c r="R73" s="75">
        <v>0.15970841616964801</v>
      </c>
      <c r="S73" s="75">
        <v>0.41286307053941901</v>
      </c>
      <c r="T73" s="99">
        <v>22.680941269406301</v>
      </c>
      <c r="U73" s="99">
        <v>37.031258484095403</v>
      </c>
      <c r="V73" s="99">
        <v>2149.23727125</v>
      </c>
      <c r="W73" s="64">
        <v>0.19404902559408391</v>
      </c>
      <c r="X73" s="55">
        <v>1.64</v>
      </c>
      <c r="Y73" s="64">
        <f>307.06/423.43</f>
        <v>0.72517299199395413</v>
      </c>
      <c r="Z73" s="55">
        <v>3</v>
      </c>
      <c r="AA73" s="64">
        <v>0.98468367359357278</v>
      </c>
      <c r="AB73" s="73">
        <v>4.4431483885701626</v>
      </c>
    </row>
    <row r="74" spans="1:28" ht="18" customHeight="1">
      <c r="A74" s="128"/>
      <c r="B74" t="s">
        <v>97</v>
      </c>
      <c r="C74" s="48">
        <v>44009</v>
      </c>
      <c r="D74" s="65">
        <v>1.2601839110586801</v>
      </c>
      <c r="E74" s="65">
        <v>0.56335320970665903</v>
      </c>
      <c r="F74" s="65">
        <v>0.18779896468121299</v>
      </c>
      <c r="G74" s="65">
        <v>0.335419711507911</v>
      </c>
      <c r="H74" s="65">
        <v>5.2710173476520301E-2</v>
      </c>
      <c r="I74" s="65">
        <v>7.5745059414119506E-2</v>
      </c>
      <c r="J74" s="100">
        <v>1.03722524842936E-2</v>
      </c>
      <c r="K74" s="100">
        <v>2.3936944625734199E-2</v>
      </c>
      <c r="L74" s="100">
        <v>6.0360423989872904E-3</v>
      </c>
      <c r="M74" s="65">
        <v>0.56668435982666499</v>
      </c>
      <c r="N74" s="65">
        <v>1.30778653546864</v>
      </c>
      <c r="O74" s="65">
        <v>0.31869176779630798</v>
      </c>
      <c r="P74" s="110">
        <v>1.5547322663505201</v>
      </c>
      <c r="Q74" s="110">
        <v>0.13693635683333</v>
      </c>
      <c r="R74" s="65">
        <v>0.104276545720277</v>
      </c>
      <c r="S74" s="65">
        <v>0.80347349177330796</v>
      </c>
      <c r="T74" s="100">
        <v>2.1002787920879502</v>
      </c>
      <c r="U74" s="100">
        <v>6.6460337516044898</v>
      </c>
      <c r="V74" s="100">
        <v>87.742141903523404</v>
      </c>
      <c r="W74" s="49">
        <v>0.15935493657491029</v>
      </c>
      <c r="X74" s="58">
        <v>1.56</v>
      </c>
      <c r="Y74" s="49">
        <v>1.1024296135527825</v>
      </c>
      <c r="Z74" s="58">
        <v>2.2000000000000002</v>
      </c>
      <c r="AA74" s="49">
        <v>0.7858922899547458</v>
      </c>
      <c r="AB74" s="68">
        <v>0.94698982140612353</v>
      </c>
    </row>
    <row r="75" spans="1:28" ht="18" customHeight="1">
      <c r="A75" s="128"/>
      <c r="B75" t="s">
        <v>98</v>
      </c>
      <c r="C75" s="48">
        <v>44012</v>
      </c>
      <c r="D75" s="65">
        <v>5.7973999999999997</v>
      </c>
      <c r="E75" s="65">
        <v>2.1888006877093602</v>
      </c>
      <c r="F75" s="65">
        <v>2.1662801549511301</v>
      </c>
      <c r="G75" s="65">
        <v>0.209693049137117</v>
      </c>
      <c r="H75" s="65">
        <v>0.134962644026458</v>
      </c>
      <c r="I75" s="65">
        <v>0.100950034731857</v>
      </c>
      <c r="J75" s="100">
        <v>3.4688014004169099E-2</v>
      </c>
      <c r="K75" s="100">
        <v>6.2805943319813207E-2</v>
      </c>
      <c r="L75" s="100">
        <v>5.51262172345649E-2</v>
      </c>
      <c r="M75" s="65">
        <v>0.447695358581993</v>
      </c>
      <c r="N75" s="65">
        <v>0.81059495975366802</v>
      </c>
      <c r="O75" s="65">
        <v>0.31367437881826599</v>
      </c>
      <c r="P75" s="110">
        <v>12.733140609821</v>
      </c>
      <c r="Q75" s="110">
        <v>0.34361567181534097</v>
      </c>
      <c r="R75" s="65">
        <v>0.185951102221177</v>
      </c>
      <c r="S75" s="65">
        <v>0.98442566539169096</v>
      </c>
      <c r="T75" s="100">
        <v>4.8162517053206004</v>
      </c>
      <c r="U75" s="100">
        <v>7.74131795861586</v>
      </c>
      <c r="V75" s="100">
        <v>76.684648788663694</v>
      </c>
      <c r="W75" s="49">
        <v>0.14687378405042287</v>
      </c>
      <c r="X75" s="58">
        <v>1.0900000000000001</v>
      </c>
      <c r="Y75" s="49">
        <v>1.0759565036440537</v>
      </c>
      <c r="Z75" s="58">
        <v>2.6</v>
      </c>
      <c r="AA75" s="49">
        <v>0.79023074721823805</v>
      </c>
      <c r="AB75" s="68">
        <v>0.94744859921312452</v>
      </c>
    </row>
    <row r="76" spans="1:28" ht="18" customHeight="1">
      <c r="A76" s="128"/>
      <c r="B76" t="s">
        <v>70</v>
      </c>
      <c r="C76" s="48">
        <v>44012</v>
      </c>
      <c r="D76" s="65">
        <v>3.01877199843566</v>
      </c>
      <c r="E76" s="65">
        <v>2.7661321861556498</v>
      </c>
      <c r="F76" s="65">
        <v>2.4661712944857199</v>
      </c>
      <c r="G76" s="65">
        <v>0.75724637681159401</v>
      </c>
      <c r="H76" s="65">
        <v>0.38768115942028902</v>
      </c>
      <c r="I76" s="65">
        <v>0.300207039337474</v>
      </c>
      <c r="J76" s="100">
        <v>2.86844708209693E-2</v>
      </c>
      <c r="K76" s="100">
        <v>4.2391463236368901E-2</v>
      </c>
      <c r="L76" s="100">
        <v>4.1159485931042197E-2</v>
      </c>
      <c r="M76" s="65">
        <v>0.32334322453016801</v>
      </c>
      <c r="N76" s="65">
        <v>0.47785411489548302</v>
      </c>
      <c r="O76" s="65">
        <v>0.16358968089008399</v>
      </c>
      <c r="P76" s="110">
        <v>8.7027027027027</v>
      </c>
      <c r="Q76" s="110">
        <v>9.5548961424332293E-2</v>
      </c>
      <c r="R76" s="65">
        <v>0.39751552795030998</v>
      </c>
      <c r="S76" s="65">
        <v>0.98307291666666596</v>
      </c>
      <c r="T76" s="100">
        <v>4.3048092384154302</v>
      </c>
      <c r="U76" s="100">
        <v>30.485714285714199</v>
      </c>
      <c r="V76" s="100">
        <v>101.548965517241</v>
      </c>
      <c r="W76" s="49">
        <v>9.6566117692341275E-2</v>
      </c>
      <c r="X76" s="58">
        <v>0.68</v>
      </c>
      <c r="Y76" s="49">
        <v>1.2116537039398187</v>
      </c>
      <c r="Z76" s="58">
        <v>1.9</v>
      </c>
      <c r="AA76" s="49">
        <v>0.98589707532261495</v>
      </c>
      <c r="AB76" s="68">
        <v>1.5894736842105264</v>
      </c>
    </row>
    <row r="77" spans="1:28" ht="18" customHeight="1">
      <c r="A77" s="128"/>
      <c r="B77" t="s">
        <v>152</v>
      </c>
      <c r="C77" s="48">
        <v>44012</v>
      </c>
      <c r="D77" s="65">
        <v>4.68869567432131</v>
      </c>
      <c r="E77" s="65">
        <v>3.7848001120658599</v>
      </c>
      <c r="F77" s="65">
        <v>1.7696186895298001</v>
      </c>
      <c r="G77" s="65">
        <v>0.47576526813509801</v>
      </c>
      <c r="H77" s="65">
        <v>4.0472098568182499E-2</v>
      </c>
      <c r="I77" s="65">
        <v>1.5667127413005601E-2</v>
      </c>
      <c r="J77" s="100">
        <v>1.52636864559232E-3</v>
      </c>
      <c r="K77" s="100">
        <v>6.6711922061258797E-3</v>
      </c>
      <c r="L77" s="100">
        <v>2.2530005914962901E-3</v>
      </c>
      <c r="M77" s="65">
        <v>0.77120001966204499</v>
      </c>
      <c r="N77" s="65">
        <v>3.3706297462216699</v>
      </c>
      <c r="O77" s="65">
        <v>0.67284807937901303</v>
      </c>
      <c r="P77" s="110">
        <v>0.50069295449481799</v>
      </c>
      <c r="Q77" s="110">
        <v>9.7424920686178001E-2</v>
      </c>
      <c r="R77" s="65">
        <v>-0.116919201209502</v>
      </c>
      <c r="S77" s="65">
        <v>2.9901107298580998</v>
      </c>
      <c r="T77" s="100">
        <v>23.567931937875699</v>
      </c>
      <c r="U77" s="100">
        <v>55.348696473275801</v>
      </c>
      <c r="V77" s="100">
        <v>3532.7916224980399</v>
      </c>
      <c r="W77" s="49">
        <v>9.6565995977047403E-2</v>
      </c>
      <c r="X77" s="58">
        <v>0.91</v>
      </c>
      <c r="Y77" s="49">
        <v>1.0327307226058082</v>
      </c>
      <c r="Z77" s="58">
        <v>2.6</v>
      </c>
      <c r="AA77" s="49">
        <v>0.95407616383832861</v>
      </c>
      <c r="AB77" s="68">
        <v>1.0477357307710555</v>
      </c>
    </row>
    <row r="78" spans="1:28" ht="18" customHeight="1">
      <c r="A78" s="128"/>
      <c r="B78" t="s">
        <v>72</v>
      </c>
      <c r="C78" s="48">
        <v>44012</v>
      </c>
      <c r="D78" s="65">
        <v>1.1231387348531501</v>
      </c>
      <c r="E78" s="65">
        <v>0.87645050318340501</v>
      </c>
      <c r="F78" s="65">
        <v>0.36234339700143697</v>
      </c>
      <c r="G78" s="65">
        <v>5.9363452139706702E-2</v>
      </c>
      <c r="H78" s="65">
        <v>-7.2356657527714793E-2</v>
      </c>
      <c r="I78" s="65">
        <v>-4.5178209560138197E-2</v>
      </c>
      <c r="J78" s="100">
        <v>-3.1911086787210301E-3</v>
      </c>
      <c r="K78" s="100">
        <v>-1.9285568898839801E-2</v>
      </c>
      <c r="L78" s="100">
        <v>-5.5878870645426001E-3</v>
      </c>
      <c r="M78" s="65">
        <v>0.83453385816826997</v>
      </c>
      <c r="N78" s="65">
        <v>5.0435324648890703</v>
      </c>
      <c r="O78" s="65">
        <v>0.68918341847628295</v>
      </c>
      <c r="P78" s="110">
        <v>0.218842526771622</v>
      </c>
      <c r="Q78" s="110">
        <v>7.06338013345401E-2</v>
      </c>
      <c r="R78" s="65">
        <v>-0.167779234712123</v>
      </c>
      <c r="S78" s="65">
        <v>2.2195381882770802</v>
      </c>
      <c r="T78" s="100">
        <v>0.92177895379605101</v>
      </c>
      <c r="U78" s="100">
        <v>2.1593515317677898</v>
      </c>
      <c r="V78" s="100">
        <v>-47.796306068601503</v>
      </c>
      <c r="W78" s="49">
        <v>0.14225406474066885</v>
      </c>
      <c r="X78" s="58">
        <v>1.47</v>
      </c>
      <c r="Y78" s="49">
        <v>1.2742189965288735</v>
      </c>
      <c r="Z78" s="58">
        <v>1.9</v>
      </c>
      <c r="AA78" s="49">
        <v>0.61888450051652399</v>
      </c>
      <c r="AB78" s="68">
        <v>0.65290320000000002</v>
      </c>
    </row>
    <row r="79" spans="1:28" ht="18" customHeight="1">
      <c r="A79" s="128"/>
      <c r="B79" t="s">
        <v>73</v>
      </c>
      <c r="C79" s="48">
        <v>44012</v>
      </c>
      <c r="D79" s="65">
        <v>2.6051401869158801</v>
      </c>
      <c r="E79" s="65">
        <v>2.5183021806853501</v>
      </c>
      <c r="F79" s="65">
        <v>1.56269470404984</v>
      </c>
      <c r="G79" s="65">
        <v>0.80260452364633295</v>
      </c>
      <c r="H79" s="65">
        <v>0.32282385195339203</v>
      </c>
      <c r="I79" s="65">
        <v>0.25017135023989001</v>
      </c>
      <c r="J79" s="100">
        <v>3.2346685572491998E-2</v>
      </c>
      <c r="K79" s="100">
        <v>4.69031097404266E-2</v>
      </c>
      <c r="L79" s="100">
        <v>5.3694355208811301E-2</v>
      </c>
      <c r="M79" s="65">
        <v>0.31035093938319702</v>
      </c>
      <c r="N79" s="65">
        <v>0.450012850167052</v>
      </c>
      <c r="O79" s="65">
        <v>4.8538941190854598E-2</v>
      </c>
      <c r="P79" s="110">
        <v>3.2422222222222201</v>
      </c>
      <c r="Q79" s="110">
        <v>0.12929812123360501</v>
      </c>
      <c r="R79" s="65">
        <v>0.25908156271418697</v>
      </c>
      <c r="S79" s="65">
        <v>0.89947089947089898</v>
      </c>
      <c r="T79" s="100">
        <v>4.95484451297866</v>
      </c>
      <c r="U79" s="100">
        <v>26.428101439342001</v>
      </c>
      <c r="V79" s="100">
        <v>105.64</v>
      </c>
      <c r="W79" s="49">
        <v>8.7490054130896236E-2</v>
      </c>
      <c r="X79" s="58">
        <v>0.87</v>
      </c>
      <c r="Y79" s="49">
        <v>1.2201262888657982</v>
      </c>
      <c r="Z79" s="58">
        <v>2.2000000000000002</v>
      </c>
      <c r="AA79" s="49">
        <v>0.99816702808500113</v>
      </c>
      <c r="AB79" s="68">
        <v>1.2953712290154744</v>
      </c>
    </row>
    <row r="80" spans="1:28" ht="18" customHeight="1">
      <c r="A80" s="128"/>
      <c r="B80" t="s">
        <v>95</v>
      </c>
      <c r="C80" s="48">
        <v>44012</v>
      </c>
      <c r="D80" s="65">
        <v>6.8159000000000001</v>
      </c>
      <c r="E80" s="65">
        <v>0.67502301723003999</v>
      </c>
      <c r="F80" s="65">
        <v>0.61909772458240098</v>
      </c>
      <c r="G80" s="65">
        <v>0.243079777365491</v>
      </c>
      <c r="H80" s="65">
        <v>0.145157699443413</v>
      </c>
      <c r="I80" s="65">
        <v>0.117012987012987</v>
      </c>
      <c r="J80" s="100">
        <v>3.50897690540172E-2</v>
      </c>
      <c r="K80" s="100">
        <v>5.7087255611875401E-2</v>
      </c>
      <c r="L80" s="100">
        <v>5.5205893144421501E-2</v>
      </c>
      <c r="M80" s="65">
        <v>0.38533095210277102</v>
      </c>
      <c r="N80" s="65">
        <v>0.626891745112237</v>
      </c>
      <c r="O80" s="65">
        <v>0.22045666224492599</v>
      </c>
      <c r="P80" s="110">
        <v>8.0761162721006894</v>
      </c>
      <c r="Q80" s="110">
        <v>0.29987926938505199</v>
      </c>
      <c r="R80" s="65">
        <v>0.18256029684601099</v>
      </c>
      <c r="S80" s="65">
        <v>0.93922764227642197</v>
      </c>
      <c r="T80" s="100">
        <v>1.84085636857349</v>
      </c>
      <c r="U80" s="100">
        <v>3.7732432578849702</v>
      </c>
      <c r="V80" s="100">
        <v>32.246363025210002</v>
      </c>
      <c r="W80" s="49">
        <v>0.13820766814002208</v>
      </c>
      <c r="X80" s="58">
        <v>1.71</v>
      </c>
      <c r="Y80" s="49">
        <v>1.0440835266821347</v>
      </c>
      <c r="Z80" s="58">
        <v>2.2000000000000002</v>
      </c>
      <c r="AA80" s="49">
        <v>0.88025785463751582</v>
      </c>
      <c r="AB80" s="68">
        <v>1.2521779058270954</v>
      </c>
    </row>
    <row r="81" spans="1:28" ht="18" customHeight="1">
      <c r="A81" s="128"/>
      <c r="B81" t="s">
        <v>206</v>
      </c>
      <c r="C81" s="48">
        <v>44012</v>
      </c>
      <c r="D81" s="65">
        <v>1.81856866537717</v>
      </c>
      <c r="E81" s="77">
        <v>1.0136686009026401</v>
      </c>
      <c r="F81" s="77">
        <v>0.26924564796905198</v>
      </c>
      <c r="G81" s="65">
        <v>0.17311560762039899</v>
      </c>
      <c r="H81" s="65">
        <v>2.69790557330493E-2</v>
      </c>
      <c r="I81" s="65">
        <v>-7.2180807005088098E-3</v>
      </c>
      <c r="J81" s="100">
        <v>-1.3312673228432299E-3</v>
      </c>
      <c r="K81" s="100">
        <v>-5.0238840388733301E-3</v>
      </c>
      <c r="L81" s="100">
        <v>6.3048389639047903E-4</v>
      </c>
      <c r="M81" s="65">
        <v>0.73501233059077697</v>
      </c>
      <c r="N81" s="65">
        <v>2.7737605007412198</v>
      </c>
      <c r="O81" s="65">
        <v>0.63177048583732598</v>
      </c>
      <c r="P81" s="110">
        <v>0.87547912566041597</v>
      </c>
      <c r="Q81" s="110">
        <v>0.18443508434997</v>
      </c>
      <c r="R81" s="65">
        <v>0.82608695652173902</v>
      </c>
      <c r="S81" s="65">
        <v>0.68754605747973396</v>
      </c>
      <c r="T81" s="100">
        <v>3.9283931806951</v>
      </c>
      <c r="U81" s="100">
        <v>5.6441308720861398</v>
      </c>
      <c r="V81" s="100">
        <v>-781.94344262294999</v>
      </c>
      <c r="W81" s="49">
        <v>0.1639028781521929</v>
      </c>
      <c r="X81" s="58">
        <v>1.6</v>
      </c>
      <c r="Y81" s="49">
        <v>0.96691258663089652</v>
      </c>
      <c r="Z81" s="58">
        <v>2.5</v>
      </c>
      <c r="AA81" s="49">
        <v>0.62722002537151134</v>
      </c>
      <c r="AB81" s="68">
        <v>0.89385330852651568</v>
      </c>
    </row>
    <row r="82" spans="1:28" ht="18" customHeight="1">
      <c r="A82" s="129"/>
      <c r="B82" s="3" t="s">
        <v>96</v>
      </c>
      <c r="C82" s="50">
        <v>44010</v>
      </c>
      <c r="D82" s="76">
        <v>1.6076520326105801</v>
      </c>
      <c r="E82" s="76">
        <v>1.1113468394930199</v>
      </c>
      <c r="F82" s="76">
        <v>0.523836462593959</v>
      </c>
      <c r="G82" s="76">
        <v>0.59247871911321703</v>
      </c>
      <c r="H82" s="76">
        <v>2.5282495562486099E-3</v>
      </c>
      <c r="I82" s="76">
        <v>-3.94232568736421E-2</v>
      </c>
      <c r="J82" s="101">
        <v>-3.31782763731345E-3</v>
      </c>
      <c r="K82" s="101">
        <v>-1.3024158537208201E-2</v>
      </c>
      <c r="L82" s="101">
        <v>-5.3064837809910399E-3</v>
      </c>
      <c r="M82" s="76">
        <v>0.74525589289819505</v>
      </c>
      <c r="N82" s="76">
        <v>2.9255078807391799</v>
      </c>
      <c r="O82" s="76">
        <v>0.64841674547115002</v>
      </c>
      <c r="P82" s="111">
        <v>1.7840154288025001</v>
      </c>
      <c r="Q82" s="111">
        <v>8.4159146159527604E-2</v>
      </c>
      <c r="R82" s="76">
        <v>-3.8694423553289101E-2</v>
      </c>
      <c r="S82" s="76">
        <v>1.99663542417688</v>
      </c>
      <c r="T82" s="101">
        <v>3.8528516278949998</v>
      </c>
      <c r="U82" s="101">
        <v>11.6623242099365</v>
      </c>
      <c r="V82" s="101">
        <v>-295.82345891198503</v>
      </c>
      <c r="W82" s="71">
        <v>0.14190059556802453</v>
      </c>
      <c r="X82" s="61">
        <v>0.94</v>
      </c>
      <c r="Y82" s="71">
        <v>1.1137626262626261</v>
      </c>
      <c r="Z82" s="61">
        <v>2.1</v>
      </c>
      <c r="AA82" s="71">
        <v>0.58530975648449279</v>
      </c>
      <c r="AB82" s="72">
        <v>0.69338472455148892</v>
      </c>
    </row>
    <row r="83" spans="1:28" ht="18" customHeight="1">
      <c r="A83" s="127" t="s">
        <v>38</v>
      </c>
      <c r="B83" s="2" t="s">
        <v>202</v>
      </c>
      <c r="C83" s="47">
        <v>44012</v>
      </c>
      <c r="D83" s="65">
        <v>0.68068605518269898</v>
      </c>
      <c r="E83" s="77">
        <v>0.42460850111856802</v>
      </c>
      <c r="F83" s="77">
        <v>0.17061894108873901</v>
      </c>
      <c r="G83" s="65">
        <v>0.83192350128723702</v>
      </c>
      <c r="H83" s="65">
        <v>0.176167708716439</v>
      </c>
      <c r="I83" s="65">
        <v>6.9878631849944806E-2</v>
      </c>
      <c r="J83" s="100">
        <v>3.21592390108495E-3</v>
      </c>
      <c r="K83" s="100">
        <v>1.0425240054869601E-2</v>
      </c>
      <c r="L83" s="100">
        <v>4.0285627004734903E-3</v>
      </c>
      <c r="M83" s="65">
        <v>0.69152519422487702</v>
      </c>
      <c r="N83" s="65">
        <v>2.2417558299039699</v>
      </c>
      <c r="O83" s="65">
        <v>0.51238762842465702</v>
      </c>
      <c r="P83" s="110">
        <v>0.52612229102167096</v>
      </c>
      <c r="Q83" s="110">
        <v>4.6021563616052502E-2</v>
      </c>
      <c r="R83" s="65">
        <v>2.2925373134328302</v>
      </c>
      <c r="S83" s="65">
        <v>-0.38208955223880497</v>
      </c>
      <c r="T83" s="100">
        <v>1.3085770919067199</v>
      </c>
      <c r="U83" s="100">
        <v>8.7711723059948508</v>
      </c>
      <c r="V83" s="100">
        <v>125.520092105263</v>
      </c>
      <c r="W83" s="64">
        <v>9.7903014118554663E-2</v>
      </c>
      <c r="X83" s="55">
        <v>0.16</v>
      </c>
      <c r="Y83" s="64">
        <v>1.0231542736173591</v>
      </c>
      <c r="Z83" s="55">
        <v>3.2</v>
      </c>
      <c r="AA83" s="64">
        <v>0.7673632946456258</v>
      </c>
      <c r="AB83" s="73">
        <v>0.83218860082201696</v>
      </c>
    </row>
    <row r="84" spans="1:28" ht="18" customHeight="1">
      <c r="A84" s="128"/>
      <c r="B84" t="s">
        <v>203</v>
      </c>
      <c r="C84" s="48">
        <v>44012</v>
      </c>
      <c r="D84" s="65">
        <v>0.63235294117647001</v>
      </c>
      <c r="E84" s="77">
        <v>0.39647832817337397</v>
      </c>
      <c r="F84" s="77">
        <v>0.24729102167182601</v>
      </c>
      <c r="G84" s="65">
        <v>0.923519263944795</v>
      </c>
      <c r="H84" s="65">
        <v>0.34215066129959698</v>
      </c>
      <c r="I84" s="65">
        <v>0.197814836112708</v>
      </c>
      <c r="J84" s="100">
        <v>7.39466895958727E-3</v>
      </c>
      <c r="K84" s="100">
        <v>2.6372278442195599E-2</v>
      </c>
      <c r="L84" s="100">
        <v>1.01083381698587E-2</v>
      </c>
      <c r="M84" s="65">
        <v>0.719604471195184</v>
      </c>
      <c r="N84" s="65">
        <v>2.5663906777062202</v>
      </c>
      <c r="O84" s="65">
        <v>0.61794856774647</v>
      </c>
      <c r="P84" s="110">
        <v>1.1943681318681301</v>
      </c>
      <c r="Q84" s="110">
        <v>3.7381771281169297E-2</v>
      </c>
      <c r="R84" s="65">
        <v>0.78891823323906096</v>
      </c>
      <c r="S84" s="65">
        <v>-0.185857178506072</v>
      </c>
      <c r="T84" s="100">
        <v>1.5241875743636899</v>
      </c>
      <c r="U84" s="100">
        <v>11.4327215181138</v>
      </c>
      <c r="V84" s="100">
        <v>57.7950660465116</v>
      </c>
      <c r="W84" s="49">
        <v>0.11285794757111763</v>
      </c>
      <c r="X84" s="58">
        <v>0.77</v>
      </c>
      <c r="Y84" s="49">
        <v>1.1270417422867514</v>
      </c>
      <c r="Z84" s="58">
        <v>2.2999999999999998</v>
      </c>
      <c r="AA84" s="49">
        <v>0.70114313004120155</v>
      </c>
      <c r="AB84" s="68">
        <v>0.8423806409417921</v>
      </c>
    </row>
    <row r="85" spans="1:28" ht="18" customHeight="1">
      <c r="A85" s="128"/>
      <c r="B85" s="8" t="s">
        <v>153</v>
      </c>
      <c r="C85" s="48">
        <v>44012</v>
      </c>
      <c r="D85" s="65">
        <v>0.55344517675254601</v>
      </c>
      <c r="E85" s="65">
        <v>0.188496105452366</v>
      </c>
      <c r="F85" s="65">
        <v>2.0431396045536201E-2</v>
      </c>
      <c r="G85" s="65">
        <v>0.74026932300313597</v>
      </c>
      <c r="H85" s="65">
        <v>0.21711861280206601</v>
      </c>
      <c r="I85" s="65">
        <v>-0.147943183914406</v>
      </c>
      <c r="J85" s="100">
        <v>-5.0109653918487401E-3</v>
      </c>
      <c r="K85" s="100">
        <v>-1.76325740919883E-2</v>
      </c>
      <c r="L85" s="100">
        <v>-8.4263980636025606E-3</v>
      </c>
      <c r="M85" s="65">
        <v>0.71581203256502701</v>
      </c>
      <c r="N85" s="65">
        <v>2.5187978190132698</v>
      </c>
      <c r="O85" s="65">
        <v>0.552441772363643</v>
      </c>
      <c r="P85" s="110">
        <v>5.1200921824381102E-2</v>
      </c>
      <c r="Q85" s="110">
        <v>3.3870877043905297E-2</v>
      </c>
      <c r="R85" s="65">
        <v>0.33259546209186402</v>
      </c>
      <c r="S85" s="65">
        <v>-0.25956738768718801</v>
      </c>
      <c r="T85" s="100">
        <v>1.276210084865</v>
      </c>
      <c r="U85" s="100">
        <v>10.707828721638</v>
      </c>
      <c r="V85" s="100">
        <v>-72.377979426433896</v>
      </c>
      <c r="W85" s="49">
        <v>9.7935064386390047E-2</v>
      </c>
      <c r="X85" s="58">
        <v>0.28000000000000003</v>
      </c>
      <c r="Y85" s="49">
        <v>1.0977756631378615</v>
      </c>
      <c r="Z85" s="58">
        <v>2.4</v>
      </c>
      <c r="AA85" s="49">
        <v>0.78346187640339737</v>
      </c>
      <c r="AB85" s="68">
        <v>0.91182818061974369</v>
      </c>
    </row>
    <row r="86" spans="1:28" ht="18" customHeight="1">
      <c r="A86" s="128"/>
      <c r="B86" t="s">
        <v>154</v>
      </c>
      <c r="C86" s="48">
        <v>44012</v>
      </c>
      <c r="D86" s="65">
        <v>0.97160917077351605</v>
      </c>
      <c r="E86" s="65">
        <v>0.45264623955431699</v>
      </c>
      <c r="F86" s="65">
        <v>0.201307049496464</v>
      </c>
      <c r="G86" s="65">
        <v>0.90952380952380896</v>
      </c>
      <c r="H86" s="65">
        <v>0.195670995670995</v>
      </c>
      <c r="I86" s="65">
        <v>0.133333333333333</v>
      </c>
      <c r="J86" s="100">
        <v>5.1448664088665401E-3</v>
      </c>
      <c r="K86" s="100">
        <v>2.20306855977969E-2</v>
      </c>
      <c r="L86" s="100">
        <v>5.6704439432230897E-3</v>
      </c>
      <c r="M86" s="65">
        <v>0.76646816613909496</v>
      </c>
      <c r="N86" s="65">
        <v>3.2820714566717899</v>
      </c>
      <c r="O86" s="65">
        <v>0.61749134735085298</v>
      </c>
      <c r="P86" s="110">
        <v>0.45620618149501302</v>
      </c>
      <c r="Q86" s="110">
        <v>3.8586498066498998E-2</v>
      </c>
      <c r="R86" s="65">
        <v>0.42272727272727201</v>
      </c>
      <c r="S86" s="65">
        <v>0.15924219150025601</v>
      </c>
      <c r="T86" s="100">
        <v>1.9482618075176099</v>
      </c>
      <c r="U86" s="100">
        <v>11.791200952380899</v>
      </c>
      <c r="V86" s="100">
        <v>88.434007142857098</v>
      </c>
      <c r="W86" s="49">
        <v>0.11278501837500535</v>
      </c>
      <c r="X86" s="58">
        <v>0.39</v>
      </c>
      <c r="Y86" s="49">
        <v>1.1259693588046151</v>
      </c>
      <c r="Z86" s="58">
        <v>2.9</v>
      </c>
      <c r="AA86" s="49">
        <v>0.72773468532772578</v>
      </c>
      <c r="AB86" s="68">
        <v>0.94018966083150979</v>
      </c>
    </row>
    <row r="87" spans="1:28" ht="18" customHeight="1">
      <c r="A87" s="128"/>
      <c r="B87" t="s">
        <v>204</v>
      </c>
      <c r="C87" s="48">
        <v>44012</v>
      </c>
      <c r="D87" s="65">
        <v>0.81301915578911599</v>
      </c>
      <c r="E87" s="77">
        <v>0.26580776402780099</v>
      </c>
      <c r="F87" s="77">
        <v>8.8828615019494794E-2</v>
      </c>
      <c r="G87" s="65">
        <v>0.64245061935051895</v>
      </c>
      <c r="H87" s="65">
        <v>0.16739203213927001</v>
      </c>
      <c r="I87" s="65">
        <v>0.116504854368932</v>
      </c>
      <c r="J87" s="100">
        <v>5.1900791934497599E-3</v>
      </c>
      <c r="K87" s="100">
        <v>2.1160160525355701E-2</v>
      </c>
      <c r="L87" s="100">
        <v>5.7561486132914697E-3</v>
      </c>
      <c r="M87" s="65">
        <v>0.75472401604748596</v>
      </c>
      <c r="N87" s="65">
        <v>3.0770400097288002</v>
      </c>
      <c r="O87" s="65">
        <v>0.53912117475619303</v>
      </c>
      <c r="P87" s="110">
        <v>3.5601907032181099</v>
      </c>
      <c r="Q87" s="110">
        <v>4.4548179743777103E-2</v>
      </c>
      <c r="R87" s="65">
        <v>0.82446808510638303</v>
      </c>
      <c r="S87" s="65">
        <v>-2.48936170212765</v>
      </c>
      <c r="T87" s="100">
        <v>1.22735673112002</v>
      </c>
      <c r="U87" s="100">
        <v>6.7576527619685303</v>
      </c>
      <c r="V87" s="100">
        <v>58.003186206896501</v>
      </c>
      <c r="W87" s="49">
        <v>0.11279425982430739</v>
      </c>
      <c r="X87" s="58">
        <v>0.45</v>
      </c>
      <c r="Y87" s="49">
        <v>1.3224200650966877</v>
      </c>
      <c r="Z87" s="58">
        <v>2.1</v>
      </c>
      <c r="AA87" s="49">
        <v>0.70767266141966745</v>
      </c>
      <c r="AB87" s="68">
        <v>0.8252311609075802</v>
      </c>
    </row>
    <row r="88" spans="1:28" ht="18" customHeight="1">
      <c r="A88" s="128"/>
      <c r="B88" t="s">
        <v>118</v>
      </c>
      <c r="C88" s="48">
        <v>44012</v>
      </c>
      <c r="D88" s="65">
        <v>0.42216953171310001</v>
      </c>
      <c r="E88" s="65">
        <v>0.21058091286307001</v>
      </c>
      <c r="F88" s="65">
        <v>3.4459592965817E-2</v>
      </c>
      <c r="G88" s="65">
        <v>0.82696050372066399</v>
      </c>
      <c r="H88" s="65">
        <v>0.20684029765311901</v>
      </c>
      <c r="I88" s="65">
        <v>0.149055523755008</v>
      </c>
      <c r="J88" s="100">
        <v>6.6936744262564704E-3</v>
      </c>
      <c r="K88" s="100">
        <v>2.5940776529773599E-2</v>
      </c>
      <c r="L88" s="100">
        <v>7.5041221698865799E-3</v>
      </c>
      <c r="M88" s="65">
        <v>0.74196322077815202</v>
      </c>
      <c r="N88" s="65">
        <v>2.8754165317659899</v>
      </c>
      <c r="O88" s="65">
        <v>0.57022704017193904</v>
      </c>
      <c r="P88" s="110">
        <v>3.8273633475736601</v>
      </c>
      <c r="Q88" s="110">
        <v>4.4907255079378101E-2</v>
      </c>
      <c r="R88" s="65">
        <v>0.32355466514024001</v>
      </c>
      <c r="S88" s="65">
        <v>-0.31676249447147198</v>
      </c>
      <c r="T88" s="100">
        <v>1.95652803526511</v>
      </c>
      <c r="U88" s="100">
        <v>11.2421966514024</v>
      </c>
      <c r="V88" s="100">
        <v>75.422878456221198</v>
      </c>
      <c r="W88" s="49">
        <v>9.1718964710704343E-2</v>
      </c>
      <c r="X88" s="58">
        <v>0.31</v>
      </c>
      <c r="Y88" s="49">
        <v>1.1688900075509692</v>
      </c>
      <c r="Z88" s="58">
        <v>2.2999999999999998</v>
      </c>
      <c r="AA88" s="49">
        <v>0.76267610921736584</v>
      </c>
      <c r="AB88" s="68">
        <v>0.90287078984014935</v>
      </c>
    </row>
    <row r="89" spans="1:28" ht="18" customHeight="1">
      <c r="A89" s="128"/>
      <c r="B89" t="s">
        <v>119</v>
      </c>
      <c r="C89" s="48">
        <v>44012</v>
      </c>
      <c r="D89" s="65">
        <v>0.80211949570619401</v>
      </c>
      <c r="E89" s="65">
        <v>0.44290151653572002</v>
      </c>
      <c r="F89" s="65">
        <v>0.29691211401425099</v>
      </c>
      <c r="G89" s="65">
        <v>0.96365042536736201</v>
      </c>
      <c r="H89" s="65">
        <v>0.16318638824439199</v>
      </c>
      <c r="I89" s="65">
        <v>0.110982211910286</v>
      </c>
      <c r="J89" s="100">
        <v>5.3689015264890699E-3</v>
      </c>
      <c r="K89" s="100">
        <v>2.1441912588718699E-2</v>
      </c>
      <c r="L89" s="100">
        <v>5.7103557509951396E-3</v>
      </c>
      <c r="M89" s="65">
        <v>0.74960715354684204</v>
      </c>
      <c r="N89" s="65">
        <v>2.9937243182667101</v>
      </c>
      <c r="O89" s="65">
        <v>0.59251704822211304</v>
      </c>
      <c r="P89" s="110">
        <v>0.60293774772674202</v>
      </c>
      <c r="Q89" s="110">
        <v>4.8376234660281299E-2</v>
      </c>
      <c r="R89" s="65">
        <v>0.18522815158545999</v>
      </c>
      <c r="S89" s="65">
        <v>-1.0083507306889301</v>
      </c>
      <c r="T89" s="100">
        <v>2.4607769891669702</v>
      </c>
      <c r="U89" s="100">
        <v>12.7368522815158</v>
      </c>
      <c r="V89" s="100">
        <v>114.764808362369</v>
      </c>
      <c r="W89" s="49">
        <v>9.5246515920603347E-2</v>
      </c>
      <c r="X89" s="58">
        <v>0.27</v>
      </c>
      <c r="Y89" s="49">
        <v>0.99181166837256907</v>
      </c>
      <c r="Z89" s="58">
        <v>2.9</v>
      </c>
      <c r="AA89" s="49">
        <v>0.87774024014950869</v>
      </c>
      <c r="AB89" s="68">
        <v>1.0509843345111898</v>
      </c>
    </row>
    <row r="90" spans="1:28" ht="18" customHeight="1">
      <c r="A90" s="128"/>
      <c r="B90" t="s">
        <v>205</v>
      </c>
      <c r="C90" s="48">
        <v>44012</v>
      </c>
      <c r="D90" s="65">
        <v>0.57996295231070605</v>
      </c>
      <c r="E90" s="77">
        <v>0.26950092880836302</v>
      </c>
      <c r="F90" s="77">
        <v>9.0763405097629892E-3</v>
      </c>
      <c r="G90" s="65">
        <v>0.89354431470978801</v>
      </c>
      <c r="H90" s="65">
        <v>0.18207608791157701</v>
      </c>
      <c r="I90" s="65">
        <v>0.15132411135997001</v>
      </c>
      <c r="J90" s="100">
        <v>6.8417677089131802E-3</v>
      </c>
      <c r="K90" s="100">
        <v>3.4185336538956598E-2</v>
      </c>
      <c r="L90" s="100">
        <v>9.6134128769166799E-3</v>
      </c>
      <c r="M90" s="65">
        <v>0.79986250241776902</v>
      </c>
      <c r="N90" s="65">
        <v>3.9965649220188202</v>
      </c>
      <c r="O90" s="65">
        <v>0.63118588381351703</v>
      </c>
      <c r="P90" s="110">
        <v>0.97220921620883205</v>
      </c>
      <c r="Q90" s="110">
        <v>4.5212673958071103E-2</v>
      </c>
      <c r="R90" s="65">
        <v>3.9288156137724299</v>
      </c>
      <c r="S90" s="65">
        <v>-1.89508267718005</v>
      </c>
      <c r="T90" s="100">
        <v>1.74839443046036</v>
      </c>
      <c r="U90" s="100">
        <v>7.7394070172348304</v>
      </c>
      <c r="V90" s="100">
        <v>51.144572716665799</v>
      </c>
      <c r="W90" s="49">
        <v>0.1122531551370471</v>
      </c>
      <c r="X90" s="58">
        <v>0.51</v>
      </c>
      <c r="Y90" s="49">
        <v>1.1953833470733717</v>
      </c>
      <c r="Z90" s="58">
        <v>2.2000000000000002</v>
      </c>
      <c r="AA90" s="49">
        <v>0.69572635180090781</v>
      </c>
      <c r="AB90" s="68">
        <v>0.91931369607843139</v>
      </c>
    </row>
    <row r="91" spans="1:28" ht="18" customHeight="1">
      <c r="A91" s="128"/>
      <c r="B91" t="s">
        <v>120</v>
      </c>
      <c r="C91" s="48">
        <v>44012</v>
      </c>
      <c r="D91" s="65">
        <v>0.79624804585721698</v>
      </c>
      <c r="E91" s="65">
        <v>0.68097967691505901</v>
      </c>
      <c r="F91" s="65">
        <v>0.51005732152162497</v>
      </c>
      <c r="G91" s="65">
        <v>0.97970553123756399</v>
      </c>
      <c r="H91" s="65">
        <v>0.25945085555113401</v>
      </c>
      <c r="I91" s="65">
        <v>0.90608834062873</v>
      </c>
      <c r="J91" s="100">
        <v>3.3296775608686102E-2</v>
      </c>
      <c r="K91" s="100">
        <v>9.6376872936595206E-2</v>
      </c>
      <c r="L91" s="100">
        <v>7.8754890287463797E-3</v>
      </c>
      <c r="M91" s="65">
        <v>0.65451487899393102</v>
      </c>
      <c r="N91" s="65">
        <v>1.8944806569034101</v>
      </c>
      <c r="O91" s="65">
        <v>0.46500305699599098</v>
      </c>
      <c r="P91" s="110">
        <v>6.5233756457181394E-2</v>
      </c>
      <c r="Q91" s="110">
        <v>3.6747824815383398E-2</v>
      </c>
      <c r="R91" s="65">
        <v>-0.115797851173895</v>
      </c>
      <c r="S91" s="65">
        <v>5.92439862542955</v>
      </c>
      <c r="T91" s="100">
        <v>1.4595695695420301</v>
      </c>
      <c r="U91" s="100">
        <v>13.722161022682</v>
      </c>
      <c r="V91" s="100">
        <v>15.144396420729</v>
      </c>
      <c r="W91" s="49">
        <v>0.11414390571878712</v>
      </c>
      <c r="X91" s="58">
        <v>0.69</v>
      </c>
      <c r="Y91" s="49">
        <v>1.2068304872969595</v>
      </c>
      <c r="Z91" s="58">
        <v>2.2000000000000002</v>
      </c>
      <c r="AA91" s="49">
        <v>0.73307267010883537</v>
      </c>
      <c r="AB91" s="68">
        <v>0.86433484225567569</v>
      </c>
    </row>
    <row r="92" spans="1:28" ht="18" customHeight="1">
      <c r="A92" s="129"/>
      <c r="B92" s="3" t="s">
        <v>121</v>
      </c>
      <c r="C92" s="50">
        <v>44012</v>
      </c>
      <c r="D92" s="76">
        <v>0.49170636514951499</v>
      </c>
      <c r="E92" s="76">
        <v>0.278712047293807</v>
      </c>
      <c r="F92" s="76">
        <v>3.81679389312977E-3</v>
      </c>
      <c r="G92" s="76">
        <v>0.71298508426422103</v>
      </c>
      <c r="H92" s="76">
        <v>0.21876412474979001</v>
      </c>
      <c r="I92" s="76">
        <v>0.156453799961257</v>
      </c>
      <c r="J92" s="101">
        <v>6.91455967125164E-3</v>
      </c>
      <c r="K92" s="101">
        <v>2.3266532873700001E-2</v>
      </c>
      <c r="L92" s="101">
        <v>9.3765646092517103E-3</v>
      </c>
      <c r="M92" s="76">
        <v>0.70281091261914197</v>
      </c>
      <c r="N92" s="76">
        <v>2.3648611017754702</v>
      </c>
      <c r="O92" s="76">
        <v>0.50727442194959205</v>
      </c>
      <c r="P92" s="111">
        <v>6.4070528467056603E-2</v>
      </c>
      <c r="Q92" s="111">
        <v>4.4195536784430098E-2</v>
      </c>
      <c r="R92" s="76">
        <v>0.44495383224640001</v>
      </c>
      <c r="S92" s="76">
        <v>0.214772892178203</v>
      </c>
      <c r="T92" s="101">
        <v>2.6455395617480102</v>
      </c>
      <c r="U92" s="101">
        <v>17.789703331826601</v>
      </c>
      <c r="V92" s="101">
        <v>113.705792612463</v>
      </c>
      <c r="W92" s="71">
        <v>0.10632345848458975</v>
      </c>
      <c r="X92" s="61">
        <v>0.16</v>
      </c>
      <c r="Y92" s="71">
        <v>0.97959183673469374</v>
      </c>
      <c r="Z92" s="61">
        <v>3.1</v>
      </c>
      <c r="AA92" s="71">
        <v>0.83050038358956857</v>
      </c>
      <c r="AB92" s="72">
        <v>1.0461927599973329</v>
      </c>
    </row>
    <row r="93" spans="1:28" ht="18" customHeight="1">
      <c r="A93" s="127" t="s">
        <v>37</v>
      </c>
      <c r="B93" s="2" t="s">
        <v>59</v>
      </c>
      <c r="C93" s="51">
        <v>44009</v>
      </c>
      <c r="D93" s="75">
        <v>1.46944963175895</v>
      </c>
      <c r="E93" s="75">
        <v>1.31244885541031</v>
      </c>
      <c r="F93" s="75">
        <v>0.35022765899410302</v>
      </c>
      <c r="G93" s="75">
        <v>0.37999497361146001</v>
      </c>
      <c r="H93" s="75">
        <v>0.219334841249895</v>
      </c>
      <c r="I93" s="75">
        <v>0.18853983412917799</v>
      </c>
      <c r="J93" s="99">
        <v>3.5459942522940401E-2</v>
      </c>
      <c r="K93" s="99">
        <v>0.15568191250933799</v>
      </c>
      <c r="L93" s="99">
        <v>5.9168746002720402E-2</v>
      </c>
      <c r="M93" s="75">
        <v>0.77222824442875804</v>
      </c>
      <c r="N93" s="75">
        <v>3.39035997897125</v>
      </c>
      <c r="O93" s="75">
        <v>0.56706995687589801</v>
      </c>
      <c r="P93" s="109">
        <v>1.36108640623931</v>
      </c>
      <c r="Q93" s="109">
        <v>0.18807666128869599</v>
      </c>
      <c r="R93" s="75">
        <v>0.272614559772137</v>
      </c>
      <c r="S93" s="75">
        <v>0.90381660623194604</v>
      </c>
      <c r="T93" s="99">
        <v>21.3052170368715</v>
      </c>
      <c r="U93" s="99">
        <v>25.801854701501998</v>
      </c>
      <c r="V93" s="99">
        <v>136.85094622404199</v>
      </c>
      <c r="W93" s="64">
        <v>0.10196860646563936</v>
      </c>
      <c r="X93" s="55">
        <v>1.28</v>
      </c>
      <c r="Y93" s="64">
        <v>1.0682374263706389</v>
      </c>
      <c r="Z93" s="55">
        <v>2.2000000000000002</v>
      </c>
      <c r="AA93" s="64">
        <v>0.98234795514691853</v>
      </c>
      <c r="AB93" s="73">
        <v>1.8021020460039632</v>
      </c>
    </row>
    <row r="94" spans="1:28" ht="18" customHeight="1">
      <c r="A94" s="128"/>
      <c r="B94" t="s">
        <v>60</v>
      </c>
      <c r="C94" s="52">
        <v>44008</v>
      </c>
      <c r="D94" s="65">
        <v>6.0917012448132697</v>
      </c>
      <c r="E94" s="65">
        <v>5.4211618257261396</v>
      </c>
      <c r="F94" s="65">
        <v>1.3585062240663901</v>
      </c>
      <c r="G94" s="65">
        <v>0.58846352819451597</v>
      </c>
      <c r="H94" s="65">
        <v>0.16839110191412299</v>
      </c>
      <c r="I94" s="65">
        <v>0.16088980858768701</v>
      </c>
      <c r="J94" s="100">
        <v>2.47021445591739E-2</v>
      </c>
      <c r="K94" s="100">
        <v>4.4703176656604802E-2</v>
      </c>
      <c r="L94" s="100">
        <v>2.67457180500658E-2</v>
      </c>
      <c r="M94" s="65">
        <v>0.44741858617950703</v>
      </c>
      <c r="N94" s="65">
        <v>0.80968808394422798</v>
      </c>
      <c r="O94" s="65">
        <v>0.33342914630640902</v>
      </c>
      <c r="P94" s="110">
        <v>1.45065666041275</v>
      </c>
      <c r="Q94" s="110">
        <v>0.15353455123113499</v>
      </c>
      <c r="R94" s="65">
        <v>0.40532850491464001</v>
      </c>
      <c r="S94" s="65">
        <v>0.86151882578174799</v>
      </c>
      <c r="T94" s="100">
        <v>18.749194897225799</v>
      </c>
      <c r="U94" s="100">
        <v>67.479642472840098</v>
      </c>
      <c r="V94" s="100">
        <v>419.41526977491901</v>
      </c>
      <c r="W94" s="49">
        <v>0.13956325974472569</v>
      </c>
      <c r="X94" s="58">
        <v>1.53</v>
      </c>
      <c r="Y94" s="49">
        <v>1.1109636422136424</v>
      </c>
      <c r="Z94" s="58">
        <v>2</v>
      </c>
      <c r="AA94" s="49">
        <v>0.96942820535335394</v>
      </c>
      <c r="AB94" s="68">
        <v>2.3196033190883876</v>
      </c>
    </row>
    <row r="95" spans="1:28" ht="18" customHeight="1">
      <c r="A95" s="128"/>
      <c r="B95" s="8" t="s">
        <v>61</v>
      </c>
      <c r="C95" s="52">
        <v>44009</v>
      </c>
      <c r="D95" s="65">
        <v>1.97455629197989</v>
      </c>
      <c r="E95" s="65">
        <v>1.47929362572839</v>
      </c>
      <c r="F95" s="65">
        <v>0.38859481339798002</v>
      </c>
      <c r="G95" s="65">
        <v>0.53259326845093202</v>
      </c>
      <c r="H95" s="65">
        <v>0.288777372262773</v>
      </c>
      <c r="I95" s="65">
        <v>0.25876926196269201</v>
      </c>
      <c r="J95" s="100">
        <v>3.3466851100374298E-2</v>
      </c>
      <c r="K95" s="100">
        <v>6.22485062797219E-2</v>
      </c>
      <c r="L95" s="100">
        <v>4.56334865982869E-2</v>
      </c>
      <c r="M95" s="65">
        <v>0.46236700122591601</v>
      </c>
      <c r="N95" s="65">
        <v>0.86000487745396903</v>
      </c>
      <c r="O95" s="65">
        <v>0.30560612346849703</v>
      </c>
      <c r="P95" s="110">
        <v>0.339926941898132</v>
      </c>
      <c r="Q95" s="110">
        <v>0.12933085964900701</v>
      </c>
      <c r="R95" s="65">
        <v>0.56554136253041298</v>
      </c>
      <c r="S95" s="65">
        <v>0.694541543425652</v>
      </c>
      <c r="T95" s="100">
        <v>2.98339515181075</v>
      </c>
      <c r="U95" s="100">
        <v>12.402080109489001</v>
      </c>
      <c r="V95" s="100">
        <v>47.927176571988198</v>
      </c>
      <c r="W95" s="49">
        <v>0.12394682507822791</v>
      </c>
      <c r="X95" s="58">
        <v>0.71</v>
      </c>
      <c r="Y95" s="49">
        <v>1.1237072394590295</v>
      </c>
      <c r="Z95" s="58">
        <v>3</v>
      </c>
      <c r="AA95" s="49">
        <v>0.85102963559179745</v>
      </c>
      <c r="AB95" s="68">
        <v>1.2126951344993786</v>
      </c>
    </row>
    <row r="96" spans="1:28" ht="18" customHeight="1">
      <c r="A96" s="128"/>
      <c r="B96" t="s">
        <v>67</v>
      </c>
      <c r="C96" s="52">
        <v>43982</v>
      </c>
      <c r="D96" s="65">
        <v>1.3650534680398601</v>
      </c>
      <c r="E96" s="65">
        <v>1.25052304726274</v>
      </c>
      <c r="F96" s="65">
        <v>0.54464896462977097</v>
      </c>
      <c r="G96" s="65">
        <v>0.321043588545673</v>
      </c>
      <c r="H96" s="65">
        <v>0.155826173507149</v>
      </c>
      <c r="I96" s="65">
        <v>0.111743055078537</v>
      </c>
      <c r="J96" s="100">
        <v>3.5034110851431599E-2</v>
      </c>
      <c r="K96" s="100">
        <v>7.6692614229784906E-2</v>
      </c>
      <c r="L96" s="100">
        <v>7.2356547869093804E-2</v>
      </c>
      <c r="M96" s="65">
        <v>0.54318794315104302</v>
      </c>
      <c r="N96" s="65">
        <v>1.1890840773728599</v>
      </c>
      <c r="O96" s="65">
        <v>3.7537913030884999E-3</v>
      </c>
      <c r="P96" s="110">
        <v>2.35462203056146</v>
      </c>
      <c r="Q96" s="110">
        <v>0.31352383221318197</v>
      </c>
      <c r="R96" s="65">
        <v>0.249421338048575</v>
      </c>
      <c r="S96" s="65">
        <v>0.94529167970713401</v>
      </c>
      <c r="T96" s="100">
        <v>8.1690699991879896</v>
      </c>
      <c r="U96" s="100">
        <v>11.9025390909829</v>
      </c>
      <c r="V96" s="100">
        <v>106.517036630306</v>
      </c>
      <c r="W96" s="49">
        <v>9.5509374199293909E-2</v>
      </c>
      <c r="X96" s="58">
        <v>1.02</v>
      </c>
      <c r="Y96" s="49">
        <v>0.98440752857203551</v>
      </c>
      <c r="Z96" s="58">
        <v>2.2000000000000002</v>
      </c>
      <c r="AA96" s="49">
        <v>0.97883303031551983</v>
      </c>
      <c r="AB96" s="68">
        <v>1.1383314961826805</v>
      </c>
    </row>
    <row r="97" spans="1:28" ht="18" customHeight="1">
      <c r="A97" s="128"/>
      <c r="B97" t="s">
        <v>62</v>
      </c>
      <c r="C97" s="52">
        <v>44012</v>
      </c>
      <c r="D97" s="65">
        <v>2.51576545429401</v>
      </c>
      <c r="E97" s="65">
        <v>2.3307702945650601</v>
      </c>
      <c r="F97" s="65">
        <v>0.18774719955746</v>
      </c>
      <c r="G97" s="65">
        <v>0.67557121447164303</v>
      </c>
      <c r="H97" s="65">
        <v>0.35195751058291402</v>
      </c>
      <c r="I97" s="65">
        <v>0.29453369442326399</v>
      </c>
      <c r="J97" s="100">
        <v>3.7177534175652401E-2</v>
      </c>
      <c r="K97" s="100">
        <v>9.4688260751961004E-2</v>
      </c>
      <c r="L97" s="100">
        <v>5.8611097768132003E-2</v>
      </c>
      <c r="M97" s="65">
        <v>0.60736913023420902</v>
      </c>
      <c r="N97" s="65">
        <v>1.5469214903976101</v>
      </c>
      <c r="O97" s="65">
        <v>0.36680974962266699</v>
      </c>
      <c r="P97" s="110">
        <v>0.71890594283985998</v>
      </c>
      <c r="Q97" s="110">
        <v>0.126225063140741</v>
      </c>
      <c r="R97" s="65">
        <v>0.49096836957379097</v>
      </c>
      <c r="S97" s="65">
        <v>0.74594334065227796</v>
      </c>
      <c r="T97" s="100">
        <v>13.1331648769272</v>
      </c>
      <c r="U97" s="100">
        <v>40.851522036126497</v>
      </c>
      <c r="V97" s="100">
        <v>138.698976754151</v>
      </c>
      <c r="W97" s="49">
        <v>0.10127101559494953</v>
      </c>
      <c r="X97" s="58">
        <v>0.89</v>
      </c>
      <c r="Y97" s="49">
        <v>1.1296552405413416</v>
      </c>
      <c r="Z97" s="58">
        <v>1.7</v>
      </c>
      <c r="AA97" s="49">
        <v>0.98281411554030773</v>
      </c>
      <c r="AB97" s="68">
        <v>1.4625590524610359</v>
      </c>
    </row>
    <row r="98" spans="1:28" ht="18" customHeight="1">
      <c r="A98" s="128"/>
      <c r="B98" t="s">
        <v>63</v>
      </c>
      <c r="C98" s="52">
        <v>44012</v>
      </c>
      <c r="D98" s="65">
        <v>3.4144715745109702</v>
      </c>
      <c r="E98" s="65">
        <v>3.2680150258829999</v>
      </c>
      <c r="F98" s="65">
        <v>0.40638600027486299</v>
      </c>
      <c r="G98" s="65">
        <v>0.51554952085019701</v>
      </c>
      <c r="H98" s="65">
        <v>0.16667101861764599</v>
      </c>
      <c r="I98" s="65">
        <v>0.18171136120322701</v>
      </c>
      <c r="J98" s="100">
        <v>2.49881504675179E-2</v>
      </c>
      <c r="K98" s="100">
        <v>3.3566143486942999E-2</v>
      </c>
      <c r="L98" s="100">
        <v>3.5246173893047801E-2</v>
      </c>
      <c r="M98" s="65">
        <v>0.25555491719690299</v>
      </c>
      <c r="N98" s="65">
        <v>0.34328243022930499</v>
      </c>
      <c r="O98" s="65">
        <v>1.9012018548310701E-2</v>
      </c>
      <c r="P98" s="110">
        <v>0.42403808891103301</v>
      </c>
      <c r="Q98" s="110">
        <v>0.13751561983827101</v>
      </c>
      <c r="R98" s="65">
        <v>0.36538110034728499</v>
      </c>
      <c r="S98" s="65">
        <v>0.61473593939826998</v>
      </c>
      <c r="T98" s="100">
        <v>5.0161974655366999</v>
      </c>
      <c r="U98" s="100">
        <v>27.155340913126299</v>
      </c>
      <c r="V98" s="100">
        <v>149.44217429946801</v>
      </c>
      <c r="W98" s="49">
        <v>9.1661530301429386E-2</v>
      </c>
      <c r="X98" s="58">
        <v>1.08</v>
      </c>
      <c r="Y98" s="49">
        <v>1.2007913561645693</v>
      </c>
      <c r="Z98" s="58">
        <v>1.8</v>
      </c>
      <c r="AA98" s="49">
        <v>0.91625518803653816</v>
      </c>
      <c r="AB98" s="68">
        <v>1.2701545854545455</v>
      </c>
    </row>
    <row r="99" spans="1:28" ht="18" customHeight="1">
      <c r="A99" s="128"/>
      <c r="B99" t="s">
        <v>64</v>
      </c>
      <c r="C99" s="52">
        <v>44012</v>
      </c>
      <c r="D99" s="65">
        <v>6.0249380969225301</v>
      </c>
      <c r="E99" s="65">
        <v>5.8120799434028996</v>
      </c>
      <c r="F99" s="65">
        <v>1.86107180756986</v>
      </c>
      <c r="G99" s="65">
        <v>0.79509819660726699</v>
      </c>
      <c r="H99" s="65">
        <v>0.31909883876491602</v>
      </c>
      <c r="I99" s="65">
        <v>0.27709102584684497</v>
      </c>
      <c r="J99" s="100">
        <v>3.7067527614520597E-2</v>
      </c>
      <c r="K99" s="100">
        <v>4.68822149990493E-2</v>
      </c>
      <c r="L99" s="100">
        <v>4.7755543958312198E-2</v>
      </c>
      <c r="M99" s="65">
        <v>0.20934777473137101</v>
      </c>
      <c r="N99" s="65">
        <v>0.26477858158211598</v>
      </c>
      <c r="O99" s="65">
        <v>3.8242642350118602E-3</v>
      </c>
      <c r="P99" s="110">
        <v>0.38581604211830201</v>
      </c>
      <c r="Q99" s="110">
        <v>0.13377382938056101</v>
      </c>
      <c r="R99" s="65">
        <v>0.207470433991544</v>
      </c>
      <c r="S99" s="65">
        <v>0.16043332473562</v>
      </c>
      <c r="T99" s="100">
        <v>5.9189885646509097</v>
      </c>
      <c r="U99" s="100">
        <v>34.983385776208003</v>
      </c>
      <c r="V99" s="100">
        <v>126.252323290845</v>
      </c>
      <c r="W99" s="49">
        <v>0.10173418524895135</v>
      </c>
      <c r="X99" s="58">
        <v>1.26</v>
      </c>
      <c r="Y99" s="49">
        <v>1.1290766749282033</v>
      </c>
      <c r="Z99" s="58">
        <v>1.8</v>
      </c>
      <c r="AA99" s="49">
        <v>0.91083220956835764</v>
      </c>
      <c r="AB99" s="68">
        <v>1.1432124300518134</v>
      </c>
    </row>
    <row r="100" spans="1:28" ht="18" customHeight="1">
      <c r="A100" s="128"/>
      <c r="B100" t="s">
        <v>84</v>
      </c>
      <c r="C100" s="52">
        <v>44012</v>
      </c>
      <c r="D100" s="65">
        <v>1.1811791769617399</v>
      </c>
      <c r="E100" s="65">
        <v>0.96867811195364995</v>
      </c>
      <c r="F100" s="65">
        <v>0.39901593252108702</v>
      </c>
      <c r="G100" s="65">
        <v>0.40772899046247901</v>
      </c>
      <c r="H100" s="65">
        <v>6.5716663667446398E-2</v>
      </c>
      <c r="I100" s="65">
        <v>5.8968418211265E-2</v>
      </c>
      <c r="J100" s="100">
        <v>2.0297002872473002E-2</v>
      </c>
      <c r="K100" s="100">
        <v>7.1112738715277707E-2</v>
      </c>
      <c r="L100" s="100">
        <v>3.7836489922027997E-2</v>
      </c>
      <c r="M100" s="65">
        <v>0.71457992985281404</v>
      </c>
      <c r="N100" s="65">
        <v>2.5036078559027701</v>
      </c>
      <c r="O100" s="65">
        <v>0.40342274547882001</v>
      </c>
      <c r="P100" s="110">
        <v>0.77278495315243201</v>
      </c>
      <c r="Q100" s="110">
        <v>0.34420124344789599</v>
      </c>
      <c r="R100" s="65">
        <v>0.231745996041029</v>
      </c>
      <c r="S100" s="65">
        <v>0.63800048531909703</v>
      </c>
      <c r="T100" s="100">
        <v>19.046216239420499</v>
      </c>
      <c r="U100" s="100">
        <v>15.7935872649361</v>
      </c>
      <c r="V100" s="100">
        <v>267.83128569521199</v>
      </c>
      <c r="W100" s="49">
        <v>7.827458376583632E-2</v>
      </c>
      <c r="X100" s="58">
        <v>1.32</v>
      </c>
      <c r="Y100" s="49">
        <v>1.2313324452368313</v>
      </c>
      <c r="Z100" s="58">
        <v>1.7</v>
      </c>
      <c r="AA100" s="49">
        <v>0.96960290562002582</v>
      </c>
      <c r="AB100" s="68">
        <v>1.3944406979913542</v>
      </c>
    </row>
    <row r="101" spans="1:28" ht="18" customHeight="1">
      <c r="A101" s="128"/>
      <c r="B101" t="s">
        <v>66</v>
      </c>
      <c r="C101" s="52">
        <v>44012</v>
      </c>
      <c r="D101" s="65">
        <v>1.3786355954816301</v>
      </c>
      <c r="E101" s="65">
        <v>1.35373121053099</v>
      </c>
      <c r="F101" s="65">
        <v>0.188354235227845</v>
      </c>
      <c r="G101" s="65">
        <v>0.48564911613761602</v>
      </c>
      <c r="H101" s="65">
        <v>0.18076411328644701</v>
      </c>
      <c r="I101" s="65">
        <v>0.29081923588671299</v>
      </c>
      <c r="J101" s="100">
        <v>2.4221891523920999E-2</v>
      </c>
      <c r="K101" s="100">
        <v>8.6734693877551006E-2</v>
      </c>
      <c r="L101" s="100">
        <v>6.1113564561606097E-2</v>
      </c>
      <c r="M101" s="65">
        <v>0.72073583890067405</v>
      </c>
      <c r="N101" s="65">
        <v>2.5808390022675698</v>
      </c>
      <c r="O101" s="65">
        <v>0.33619327161887502</v>
      </c>
      <c r="P101" s="110">
        <v>2.2030988274706802</v>
      </c>
      <c r="Q101" s="110">
        <v>8.3288477978659403E-2</v>
      </c>
      <c r="R101" s="65">
        <v>0.45295571184185501</v>
      </c>
      <c r="S101" s="65">
        <v>0.91900965169953797</v>
      </c>
      <c r="T101" s="100">
        <v>11.6943492063492</v>
      </c>
      <c r="U101" s="100">
        <v>39.210857251473101</v>
      </c>
      <c r="V101" s="100">
        <v>134.828967320261</v>
      </c>
      <c r="W101" s="49">
        <v>0.11989992847346242</v>
      </c>
      <c r="X101" s="58">
        <v>1.1399999999999999</v>
      </c>
      <c r="Y101" s="49">
        <v>1.2527328626736507</v>
      </c>
      <c r="Z101" s="58">
        <v>1.9</v>
      </c>
      <c r="AA101" s="49">
        <v>0.97430414271733889</v>
      </c>
      <c r="AB101" s="68">
        <v>1.4635313176000289</v>
      </c>
    </row>
    <row r="102" spans="1:28" ht="18" customHeight="1">
      <c r="A102" s="129"/>
      <c r="B102" s="3" t="s">
        <v>65</v>
      </c>
      <c r="C102" s="53">
        <v>43980</v>
      </c>
      <c r="D102" s="76">
        <v>1.2875677769171101</v>
      </c>
      <c r="E102" s="76">
        <v>1.12180480247869</v>
      </c>
      <c r="F102" s="76">
        <v>0.58946553059643603</v>
      </c>
      <c r="G102" s="76">
        <v>0.86732736572890001</v>
      </c>
      <c r="H102" s="76">
        <v>0.32480818414322199</v>
      </c>
      <c r="I102" s="76">
        <v>0.351662404092071</v>
      </c>
      <c r="J102" s="101">
        <v>5.0918853862889399E-2</v>
      </c>
      <c r="K102" s="101">
        <v>0.10109364948074601</v>
      </c>
      <c r="L102" s="101">
        <v>6.0830950787760803E-2</v>
      </c>
      <c r="M102" s="76">
        <v>0.49631995556172698</v>
      </c>
      <c r="N102" s="76">
        <v>0.98538737248414598</v>
      </c>
      <c r="O102" s="76">
        <v>0.27435811937312399</v>
      </c>
      <c r="P102" s="111">
        <v>1.6673773987206799</v>
      </c>
      <c r="Q102" s="111">
        <v>0.14479470443919801</v>
      </c>
      <c r="R102" s="76">
        <v>0.37851662404092001</v>
      </c>
      <c r="S102" s="76">
        <v>0.91891891891891897</v>
      </c>
      <c r="T102" s="101">
        <v>17.231963973899401</v>
      </c>
      <c r="U102" s="101">
        <v>59.942774936061298</v>
      </c>
      <c r="V102" s="101">
        <v>170.45545454545399</v>
      </c>
      <c r="W102" s="71">
        <v>0.10878323030125693</v>
      </c>
      <c r="X102" s="61">
        <v>0.94</v>
      </c>
      <c r="Y102" s="71">
        <v>1.1610055937214199</v>
      </c>
      <c r="Z102" s="61">
        <v>2</v>
      </c>
      <c r="AA102" s="71">
        <v>0.96288735343241005</v>
      </c>
      <c r="AB102" s="72">
        <v>1.409442836796216</v>
      </c>
    </row>
    <row r="103" spans="1:28" ht="18" customHeight="1">
      <c r="A103" s="127" t="s">
        <v>122</v>
      </c>
      <c r="B103" s="2" t="s">
        <v>196</v>
      </c>
      <c r="C103" s="51">
        <v>44012</v>
      </c>
      <c r="D103" s="65">
        <v>0.85058977719528095</v>
      </c>
      <c r="E103" s="77">
        <v>0.33975199112813698</v>
      </c>
      <c r="F103" s="77">
        <v>0.101925597338441</v>
      </c>
      <c r="G103" s="65">
        <v>0.395812225599459</v>
      </c>
      <c r="H103" s="65">
        <v>-2.7038162782843602</v>
      </c>
      <c r="I103" s="65">
        <v>-2.7460317460317398</v>
      </c>
      <c r="J103" s="100">
        <v>-9.0897911729195494E-2</v>
      </c>
      <c r="K103" s="100">
        <v>-0.34828236100402599</v>
      </c>
      <c r="L103" s="100">
        <v>-0.102900682735468</v>
      </c>
      <c r="M103" s="65">
        <v>0.73901086616285805</v>
      </c>
      <c r="N103" s="65">
        <v>2.8315771438362001</v>
      </c>
      <c r="O103" s="65">
        <v>0.60683731896261295</v>
      </c>
      <c r="P103" s="110">
        <v>4.0158409396064097E-2</v>
      </c>
      <c r="Q103" s="110">
        <v>3.3101551670169399E-2</v>
      </c>
      <c r="R103" s="65">
        <v>0.121580547112462</v>
      </c>
      <c r="S103" s="65">
        <v>-9.7222222222222196E-2</v>
      </c>
      <c r="T103" s="100">
        <v>0.71762400411205296</v>
      </c>
      <c r="U103" s="100">
        <v>5.6581053698074903</v>
      </c>
      <c r="V103" s="100">
        <v>-2.06046611732874</v>
      </c>
      <c r="W103" s="64">
        <v>0.27983843452356499</v>
      </c>
      <c r="X103" s="55">
        <v>1.86</v>
      </c>
      <c r="Y103" s="64">
        <v>1.2825719120135364</v>
      </c>
      <c r="Z103" s="55">
        <v>3</v>
      </c>
      <c r="AA103" s="64">
        <v>0.33590373653954247</v>
      </c>
      <c r="AB103" s="73">
        <v>0.35877865324987251</v>
      </c>
    </row>
    <row r="104" spans="1:28" ht="18" customHeight="1">
      <c r="A104" s="128"/>
      <c r="B104" t="s">
        <v>68</v>
      </c>
      <c r="C104" s="52">
        <v>44012</v>
      </c>
      <c r="D104" s="65">
        <v>1.13959183673469</v>
      </c>
      <c r="E104" s="65">
        <v>0.74352941176470499</v>
      </c>
      <c r="F104" s="65">
        <v>0.329171668667467</v>
      </c>
      <c r="G104" s="65">
        <v>0.49547763598067102</v>
      </c>
      <c r="H104" s="65">
        <v>-0.47051170858629598</v>
      </c>
      <c r="I104" s="65">
        <v>-0.51232808821707299</v>
      </c>
      <c r="J104" s="100">
        <v>-3.7018303245703897E-2</v>
      </c>
      <c r="K104" s="100">
        <v>-6.16621184330216E-2</v>
      </c>
      <c r="L104" s="100">
        <v>-5.2310714885130602E-2</v>
      </c>
      <c r="M104" s="65">
        <v>0.39965891236912598</v>
      </c>
      <c r="N104" s="65">
        <v>0.66571973933401896</v>
      </c>
      <c r="O104" s="65">
        <v>0.184296314316993</v>
      </c>
      <c r="P104" s="110">
        <v>0.11221411192214099</v>
      </c>
      <c r="Q104" s="110">
        <v>7.2255072671360707E-2</v>
      </c>
      <c r="R104" s="65">
        <v>4.9560153636476201E-3</v>
      </c>
      <c r="S104" s="65">
        <v>-25.15</v>
      </c>
      <c r="T104" s="100">
        <v>1.21550375620498</v>
      </c>
      <c r="U104" s="100">
        <v>10.099178092844699</v>
      </c>
      <c r="V104" s="100">
        <v>-19.712325607581601</v>
      </c>
      <c r="W104" s="49">
        <v>0.14278216075140648</v>
      </c>
      <c r="X104" s="58">
        <v>1.22</v>
      </c>
      <c r="Y104" s="49">
        <v>1.2689998722697662</v>
      </c>
      <c r="Z104" s="58">
        <v>2.2999999999999998</v>
      </c>
      <c r="AA104" s="49">
        <v>0.69282438207029895</v>
      </c>
      <c r="AB104" s="68">
        <v>0.7022588978615476</v>
      </c>
    </row>
    <row r="105" spans="1:28" ht="18" customHeight="1">
      <c r="A105" s="128"/>
      <c r="B105" t="s">
        <v>155</v>
      </c>
      <c r="C105" s="52">
        <v>44012</v>
      </c>
      <c r="D105" s="65">
        <v>0.82713036404311502</v>
      </c>
      <c r="E105" s="65">
        <v>0.54199715273540705</v>
      </c>
      <c r="F105" s="65">
        <v>4.7386617856416499E-2</v>
      </c>
      <c r="G105" s="65">
        <v>0.24486241727621</v>
      </c>
      <c r="H105" s="65">
        <v>-0.30024381748519602</v>
      </c>
      <c r="I105" s="65">
        <v>-0.10797631487286601</v>
      </c>
      <c r="J105" s="100">
        <v>-4.1474346110107699E-3</v>
      </c>
      <c r="K105" s="100">
        <v>-9.5877277085330698E-3</v>
      </c>
      <c r="L105" s="100">
        <v>-8.7071088961448093E-3</v>
      </c>
      <c r="M105" s="65">
        <v>0.56742257007157604</v>
      </c>
      <c r="N105" s="65">
        <v>1.3117248631429099</v>
      </c>
      <c r="O105" s="65">
        <v>0.41207382489317201</v>
      </c>
      <c r="P105" s="110">
        <v>4.1335521769177597E-2</v>
      </c>
      <c r="Q105" s="110">
        <v>3.8410596026490003E-2</v>
      </c>
      <c r="R105" s="65">
        <v>-0.12225705329153599</v>
      </c>
      <c r="S105" s="65">
        <v>2.0854700854700798</v>
      </c>
      <c r="T105" s="100">
        <v>0.63661035938514798</v>
      </c>
      <c r="U105" s="100">
        <v>7.1694610762800401</v>
      </c>
      <c r="V105" s="100">
        <v>-66.398460483870906</v>
      </c>
      <c r="W105" s="49">
        <v>0.20219301024446618</v>
      </c>
      <c r="X105" s="58">
        <v>2.08</v>
      </c>
      <c r="Y105" s="49">
        <v>2.2823529411764705</v>
      </c>
      <c r="Z105" s="58">
        <v>1.9</v>
      </c>
      <c r="AA105" s="49">
        <v>0.5389129234430845</v>
      </c>
      <c r="AB105" s="68">
        <v>0.64701526314480029</v>
      </c>
    </row>
    <row r="106" spans="1:28" ht="18" customHeight="1">
      <c r="A106" s="128"/>
      <c r="B106" t="s">
        <v>160</v>
      </c>
      <c r="C106" s="52">
        <v>44012</v>
      </c>
      <c r="D106" s="65">
        <v>1.9916879795396401</v>
      </c>
      <c r="E106" s="65">
        <v>1.43350383631713</v>
      </c>
      <c r="F106" s="65">
        <v>1.05242966751918</v>
      </c>
      <c r="G106" s="65">
        <v>0.91356542617046799</v>
      </c>
      <c r="H106" s="65">
        <v>-0.194477791116446</v>
      </c>
      <c r="I106" s="65">
        <v>-0.38415366146458502</v>
      </c>
      <c r="J106" s="100">
        <v>-1.6371636140386701E-2</v>
      </c>
      <c r="K106" s="100">
        <v>-5.0039093041438602E-2</v>
      </c>
      <c r="L106" s="100">
        <v>-1.51262373484595E-2</v>
      </c>
      <c r="M106" s="65">
        <v>0.67282308400695701</v>
      </c>
      <c r="N106" s="65">
        <v>2.0564503518373698</v>
      </c>
      <c r="O106" s="65">
        <v>0.56875042147144095</v>
      </c>
      <c r="P106" s="110">
        <v>5.4263565891472798E-2</v>
      </c>
      <c r="Q106" s="110">
        <v>4.2617415327944302E-2</v>
      </c>
      <c r="R106" s="65">
        <v>0.31932773109243601</v>
      </c>
      <c r="S106" s="65">
        <v>-1.1766917293232999</v>
      </c>
      <c r="T106" s="100">
        <v>2.4710007818608202</v>
      </c>
      <c r="U106" s="100">
        <v>18.970048019207599</v>
      </c>
      <c r="V106" s="100">
        <v>-49.381406249999998</v>
      </c>
      <c r="W106" s="49">
        <v>0.18957893685810198</v>
      </c>
      <c r="X106" s="58">
        <v>2.21</v>
      </c>
      <c r="Y106" s="49">
        <v>1.3103215651000675</v>
      </c>
      <c r="Z106" s="58">
        <v>2.1</v>
      </c>
      <c r="AA106" s="49">
        <v>0.68598896898397099</v>
      </c>
      <c r="AB106" s="68">
        <v>0.77703440689440206</v>
      </c>
    </row>
    <row r="107" spans="1:28" ht="18" customHeight="1">
      <c r="A107" s="128"/>
      <c r="B107" t="s">
        <v>156</v>
      </c>
      <c r="C107" s="52">
        <v>44012</v>
      </c>
      <c r="D107" s="65">
        <v>1.0217126128323899</v>
      </c>
      <c r="E107" s="65">
        <v>0.62795803854598597</v>
      </c>
      <c r="F107" s="65">
        <v>0.22517687240790399</v>
      </c>
      <c r="G107" s="65">
        <v>0.66445968314022197</v>
      </c>
      <c r="H107" s="65">
        <v>-0.28470087491132601</v>
      </c>
      <c r="I107" s="65">
        <v>-0.145187987703948</v>
      </c>
      <c r="J107" s="100">
        <v>-7.3244342649918196E-3</v>
      </c>
      <c r="K107" s="100">
        <v>-1.6814547047869399E-2</v>
      </c>
      <c r="L107" s="100">
        <v>-1.41344157818883E-2</v>
      </c>
      <c r="M107" s="65">
        <v>0.56439895501556703</v>
      </c>
      <c r="N107" s="65">
        <v>1.29567860663818</v>
      </c>
      <c r="O107" s="65">
        <v>0.33715737883463398</v>
      </c>
      <c r="P107" s="110">
        <v>5.9565058170652697E-2</v>
      </c>
      <c r="Q107" s="110">
        <v>5.0447935678583702E-2</v>
      </c>
      <c r="R107" s="65">
        <v>-0.181603215890281</v>
      </c>
      <c r="S107" s="65">
        <v>1.9088541666666601</v>
      </c>
      <c r="T107" s="100">
        <v>0.69699549512542402</v>
      </c>
      <c r="U107" s="100">
        <v>6.0183228895719996</v>
      </c>
      <c r="V107" s="100">
        <v>-41.451934039087902</v>
      </c>
      <c r="W107" s="49">
        <v>0.16365228118710484</v>
      </c>
      <c r="X107" s="58">
        <v>1.63</v>
      </c>
      <c r="Y107" s="49">
        <v>3.1749444032616752</v>
      </c>
      <c r="Z107" s="58">
        <v>2</v>
      </c>
      <c r="AA107" s="49">
        <v>0.49187932134570772</v>
      </c>
      <c r="AB107" s="68">
        <v>0.53670882911392404</v>
      </c>
    </row>
    <row r="108" spans="1:28" ht="18" customHeight="1">
      <c r="A108" s="128"/>
      <c r="B108" t="s">
        <v>157</v>
      </c>
      <c r="C108" s="52">
        <v>44012</v>
      </c>
      <c r="D108" s="65">
        <v>1.27286161335187</v>
      </c>
      <c r="E108" s="65">
        <v>0.47392211404728701</v>
      </c>
      <c r="F108" s="65">
        <v>9.4836578581363004E-2</v>
      </c>
      <c r="G108" s="65">
        <v>9.3379836799157595E-2</v>
      </c>
      <c r="H108" s="65">
        <v>6.4556462226901798E-2</v>
      </c>
      <c r="I108" s="65">
        <v>5.9226112134772295E-4</v>
      </c>
      <c r="J108" s="100">
        <v>1.0639178182591901E-4</v>
      </c>
      <c r="K108" s="100">
        <v>3.7909102396697599E-4</v>
      </c>
      <c r="L108" s="100">
        <v>8.7017198210401006E-3</v>
      </c>
      <c r="M108" s="65">
        <v>0.71935030085231599</v>
      </c>
      <c r="N108" s="65">
        <v>2.5631607767153799</v>
      </c>
      <c r="O108" s="65">
        <v>0.561909506938293</v>
      </c>
      <c r="P108" s="110">
        <v>0.32005728848543502</v>
      </c>
      <c r="Q108" s="110">
        <v>0.17963661295851899</v>
      </c>
      <c r="R108" s="65">
        <v>3.5404053698341598E-2</v>
      </c>
      <c r="S108" s="65">
        <v>-0.57620817843866101</v>
      </c>
      <c r="T108" s="100">
        <v>1.0127152310349099</v>
      </c>
      <c r="U108" s="100">
        <v>1.58218427875756</v>
      </c>
      <c r="V108" s="100">
        <v>2671.43025555555</v>
      </c>
      <c r="W108" s="49">
        <v>0.19787404229490221</v>
      </c>
      <c r="X108" s="58">
        <v>2.09</v>
      </c>
      <c r="Y108" s="49">
        <v>1.5080113100848258</v>
      </c>
      <c r="Z108" s="58">
        <v>2.1</v>
      </c>
      <c r="AA108" s="49">
        <v>0.52043521848435248</v>
      </c>
      <c r="AB108" s="68">
        <v>0.64223517130325058</v>
      </c>
    </row>
    <row r="109" spans="1:28" ht="18" customHeight="1">
      <c r="A109" s="128"/>
      <c r="B109" t="s">
        <v>40</v>
      </c>
      <c r="C109" s="52">
        <v>44012</v>
      </c>
      <c r="D109" s="65">
        <v>2.6925700365408001</v>
      </c>
      <c r="E109" s="65">
        <v>2.0521315468940302</v>
      </c>
      <c r="F109" s="65">
        <v>0.70816077953714895</v>
      </c>
      <c r="G109" s="65">
        <v>0.20807566387777299</v>
      </c>
      <c r="H109" s="65">
        <v>-0.14477991997089801</v>
      </c>
      <c r="I109" s="65">
        <v>9.4579847217169805E-2</v>
      </c>
      <c r="J109" s="100">
        <v>4.1239729721155903E-3</v>
      </c>
      <c r="K109" s="100">
        <v>8.2558028768297698E-3</v>
      </c>
      <c r="L109" s="100">
        <v>3.5628849188171203E-4</v>
      </c>
      <c r="M109" s="65">
        <v>0.50047584303524395</v>
      </c>
      <c r="N109" s="65">
        <v>1.00190518527926</v>
      </c>
      <c r="O109" s="65">
        <v>0.320466069694681</v>
      </c>
      <c r="P109" s="110">
        <v>6.6853112840466897E-2</v>
      </c>
      <c r="Q109" s="110">
        <v>4.36030834628683E-2</v>
      </c>
      <c r="R109" s="65">
        <v>5.7111676973444797E-2</v>
      </c>
      <c r="S109" s="65">
        <v>-4.5796178343948997</v>
      </c>
      <c r="T109" s="100">
        <v>1.42329329991426</v>
      </c>
      <c r="U109" s="100">
        <v>16.305484137577299</v>
      </c>
      <c r="V109" s="100">
        <v>172.39913805461501</v>
      </c>
      <c r="W109" s="49">
        <v>0.16886907602929579</v>
      </c>
      <c r="X109" s="58">
        <v>1.64</v>
      </c>
      <c r="Y109" s="49">
        <v>1.4130190796857462</v>
      </c>
      <c r="Z109" s="58">
        <v>1.9</v>
      </c>
      <c r="AA109" s="49">
        <v>0.62123942744106075</v>
      </c>
      <c r="AB109" s="68">
        <v>0.66345379919678715</v>
      </c>
    </row>
    <row r="110" spans="1:28" ht="18" customHeight="1">
      <c r="A110" s="128"/>
      <c r="B110" t="s">
        <v>158</v>
      </c>
      <c r="C110" s="52">
        <v>44012</v>
      </c>
      <c r="D110" s="65">
        <v>1.7482191780821901</v>
      </c>
      <c r="E110" s="65">
        <v>0.79273972602739695</v>
      </c>
      <c r="F110" s="65">
        <v>0.31767123287671201</v>
      </c>
      <c r="G110" s="65">
        <v>-3.9915360200057703E-2</v>
      </c>
      <c r="H110" s="65">
        <v>0.172068866019043</v>
      </c>
      <c r="I110" s="65">
        <v>0.120515533326921</v>
      </c>
      <c r="J110" s="100">
        <v>2.55198680217519E-2</v>
      </c>
      <c r="K110" s="100">
        <v>6.3132967199072895E-2</v>
      </c>
      <c r="L110" s="100">
        <v>4.0048804995334801E-2</v>
      </c>
      <c r="M110" s="65">
        <v>0.59577588138251203</v>
      </c>
      <c r="N110" s="65">
        <v>1.47387514485816</v>
      </c>
      <c r="O110" s="65">
        <v>0.37855778564047898</v>
      </c>
      <c r="P110" s="110">
        <v>0.32565933721731499</v>
      </c>
      <c r="Q110" s="110">
        <v>0.21175584024114499</v>
      </c>
      <c r="R110" s="65">
        <v>7.0789650860825198E-2</v>
      </c>
      <c r="S110" s="65">
        <v>0.30163043478260798</v>
      </c>
      <c r="T110" s="100">
        <v>1.1851929409986299</v>
      </c>
      <c r="U110" s="100">
        <v>2.2624338078291801</v>
      </c>
      <c r="V110" s="100">
        <v>18.772964325618499</v>
      </c>
      <c r="W110" s="49">
        <v>0.16976476882179142</v>
      </c>
      <c r="X110" s="58">
        <v>1.83</v>
      </c>
      <c r="Y110" s="49">
        <v>1.4541152263374486</v>
      </c>
      <c r="Z110" s="58">
        <v>1.9</v>
      </c>
      <c r="AA110" s="49">
        <v>0.56163707965212861</v>
      </c>
      <c r="AB110" s="68">
        <v>0.67596440356083087</v>
      </c>
    </row>
    <row r="111" spans="1:28" ht="18" customHeight="1">
      <c r="A111" s="128"/>
      <c r="B111" t="s">
        <v>159</v>
      </c>
      <c r="C111" s="52">
        <v>44012</v>
      </c>
      <c r="D111" s="65">
        <v>0.75441919191919105</v>
      </c>
      <c r="E111" s="65">
        <v>0.53787878787878696</v>
      </c>
      <c r="F111" s="65">
        <v>0.11363636363636299</v>
      </c>
      <c r="G111" s="65">
        <v>0.311130587204206</v>
      </c>
      <c r="H111" s="65">
        <v>-0.19631901840490701</v>
      </c>
      <c r="I111" s="65">
        <v>-0.38475021910604701</v>
      </c>
      <c r="J111" s="100">
        <v>-2.4516921702222701E-2</v>
      </c>
      <c r="K111" s="100">
        <v>-3.7393526405451398E-2</v>
      </c>
      <c r="L111" s="100">
        <v>-3.2961646857002799E-2</v>
      </c>
      <c r="M111" s="65">
        <v>0.34435384787222101</v>
      </c>
      <c r="N111" s="65">
        <v>0.52521294718909695</v>
      </c>
      <c r="O111" s="65">
        <v>0.148905321154124</v>
      </c>
      <c r="P111" s="110">
        <v>7.0073082355831207E-2</v>
      </c>
      <c r="Q111" s="110">
        <v>6.37216575449569E-2</v>
      </c>
      <c r="R111" s="65">
        <v>0.28834355828220798</v>
      </c>
      <c r="S111" s="65">
        <v>-0.30699088145896603</v>
      </c>
      <c r="T111" s="100">
        <v>1.37312606473594</v>
      </c>
      <c r="U111" s="100">
        <v>14.1283961437335</v>
      </c>
      <c r="V111" s="100">
        <v>-36.7209567198177</v>
      </c>
      <c r="W111" s="49">
        <v>0.19660206805398761</v>
      </c>
      <c r="X111" s="58">
        <v>1.79</v>
      </c>
      <c r="Y111" s="49">
        <v>1.3753887621812149</v>
      </c>
      <c r="Z111" s="58">
        <v>1.7</v>
      </c>
      <c r="AA111" s="49">
        <v>0.59730568213708379</v>
      </c>
      <c r="AB111" s="68">
        <v>0.62427288884368648</v>
      </c>
    </row>
    <row r="112" spans="1:28" ht="18" customHeight="1">
      <c r="A112" s="129"/>
      <c r="B112" s="3" t="s">
        <v>123</v>
      </c>
      <c r="C112" s="53">
        <v>44012</v>
      </c>
      <c r="D112" s="76">
        <v>1.24703182679836</v>
      </c>
      <c r="E112" s="76">
        <v>0.67265289833383202</v>
      </c>
      <c r="F112" s="76">
        <v>0.18856629751571299</v>
      </c>
      <c r="G112" s="76">
        <v>0.11958214972968</v>
      </c>
      <c r="H112" s="76">
        <v>-5.42472280766058E-2</v>
      </c>
      <c r="I112" s="76">
        <v>-1.2920370200678001E-2</v>
      </c>
      <c r="J112" s="101">
        <v>-2.58630177189185E-3</v>
      </c>
      <c r="K112" s="101">
        <v>-6.8066618392469197E-3</v>
      </c>
      <c r="L112" s="101">
        <v>-1.0001123721766401E-2</v>
      </c>
      <c r="M112" s="76">
        <v>0.62003375032099495</v>
      </c>
      <c r="N112" s="76">
        <v>1.6318126961139201</v>
      </c>
      <c r="O112" s="76">
        <v>0.37938162861765201</v>
      </c>
      <c r="P112" s="111">
        <v>0.44942755950910102</v>
      </c>
      <c r="Q112" s="111">
        <v>0.200172420118126</v>
      </c>
      <c r="R112" s="76">
        <v>7.0008247044808902E-2</v>
      </c>
      <c r="S112" s="76">
        <v>-0.22905759162303599</v>
      </c>
      <c r="T112" s="101">
        <v>1.5013546186821101</v>
      </c>
      <c r="U112" s="101">
        <v>2.8498635504444199</v>
      </c>
      <c r="V112" s="101">
        <v>-220.57135408510601</v>
      </c>
      <c r="W112" s="71">
        <v>0.14772139961539707</v>
      </c>
      <c r="X112" s="61">
        <v>1.51</v>
      </c>
      <c r="Y112" s="71">
        <v>1.347231487658439</v>
      </c>
      <c r="Z112" s="61">
        <v>1.8</v>
      </c>
      <c r="AA112" s="71">
        <v>0.5736007161303438</v>
      </c>
      <c r="AB112" s="72">
        <v>0.72995965830235299</v>
      </c>
    </row>
    <row r="113" spans="1:71" ht="18" customHeight="1">
      <c r="A113" s="127" t="s">
        <v>124</v>
      </c>
      <c r="B113" s="2" t="s">
        <v>125</v>
      </c>
      <c r="C113" s="51">
        <v>44012</v>
      </c>
      <c r="D113" s="75">
        <v>1.2430704935160699</v>
      </c>
      <c r="E113" s="75">
        <v>1.13367340667445</v>
      </c>
      <c r="F113" s="75">
        <v>0.54163849794112195</v>
      </c>
      <c r="G113" s="75">
        <v>0.793978200303045</v>
      </c>
      <c r="H113" s="75">
        <v>0.10811867637714399</v>
      </c>
      <c r="I113" s="75">
        <v>8.6416735910846004E-2</v>
      </c>
      <c r="J113" s="99">
        <v>2.8489936671124899E-2</v>
      </c>
      <c r="K113" s="99">
        <v>0.40522576209030398</v>
      </c>
      <c r="L113" s="99">
        <v>5.1478617918140901E-2</v>
      </c>
      <c r="M113" s="75">
        <v>0.92969366872391501</v>
      </c>
      <c r="N113" s="75">
        <v>13.223470089388</v>
      </c>
      <c r="O113" s="75">
        <v>0.84170234380668996</v>
      </c>
      <c r="P113" s="109">
        <v>0.59409936986380896</v>
      </c>
      <c r="Q113" s="109">
        <v>0.32968077734985501</v>
      </c>
      <c r="R113" s="75">
        <v>0.16603939586489999</v>
      </c>
      <c r="S113" s="75">
        <v>0.66676479246393805</v>
      </c>
      <c r="T113" s="99">
        <v>22.004083841393498</v>
      </c>
      <c r="U113" s="99">
        <v>4.6924980595337002</v>
      </c>
      <c r="V113" s="99">
        <v>54.300801923076897</v>
      </c>
      <c r="W113" s="75">
        <v>9.2522073289723658E-2</v>
      </c>
      <c r="X113" s="62">
        <v>1</v>
      </c>
      <c r="Y113" s="75">
        <v>0.93685006617508004</v>
      </c>
      <c r="Z113" s="62">
        <v>2.6</v>
      </c>
      <c r="AA113" s="75">
        <v>0.88077232789769111</v>
      </c>
      <c r="AB113" s="78">
        <v>1.0632223165657733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</row>
    <row r="114" spans="1:71" ht="18" customHeight="1">
      <c r="A114" s="128"/>
      <c r="B114" t="s">
        <v>126</v>
      </c>
      <c r="C114" s="52">
        <v>44012</v>
      </c>
      <c r="D114" s="65">
        <v>0.96287175601439601</v>
      </c>
      <c r="E114" s="65">
        <v>0.78689145671528704</v>
      </c>
      <c r="F114" s="65">
        <v>0.51259708278082905</v>
      </c>
      <c r="G114" s="65">
        <v>0.83788878416588097</v>
      </c>
      <c r="H114" s="65">
        <v>0.38972667295004698</v>
      </c>
      <c r="I114" s="65">
        <v>0.26672950047125299</v>
      </c>
      <c r="J114" s="100">
        <v>1.7811344504759598E-2</v>
      </c>
      <c r="K114" s="100">
        <v>6.8806224167274499E-2</v>
      </c>
      <c r="L114" s="100">
        <v>2.5670945157526201E-2</v>
      </c>
      <c r="M114" s="65">
        <v>0.74113759735661999</v>
      </c>
      <c r="N114" s="65">
        <v>2.8630561633843898</v>
      </c>
      <c r="O114" s="65">
        <v>0.61642302580960995</v>
      </c>
      <c r="P114" s="110">
        <v>7.5826335536894704E-2</v>
      </c>
      <c r="Q114" s="110">
        <v>6.6776807489575901E-2</v>
      </c>
      <c r="R114" s="65">
        <v>0.52709707822808605</v>
      </c>
      <c r="S114" s="65">
        <v>0.64595440321859598</v>
      </c>
      <c r="T114" s="100">
        <v>6.9450222902990504</v>
      </c>
      <c r="U114" s="100">
        <v>26.922598190386399</v>
      </c>
      <c r="V114" s="100">
        <v>100.93595999999999</v>
      </c>
      <c r="W114" s="65">
        <v>0.10688082937536066</v>
      </c>
      <c r="X114" s="56">
        <v>1.03</v>
      </c>
      <c r="Y114" s="65">
        <v>0.97355182547193309</v>
      </c>
      <c r="Z114" s="56">
        <v>2.1</v>
      </c>
      <c r="AA114" s="65">
        <v>0.88418181116318384</v>
      </c>
      <c r="AB114" s="66">
        <v>0.96507285714285718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</row>
    <row r="115" spans="1:71" ht="18" customHeight="1">
      <c r="A115" s="128"/>
      <c r="B115" s="8" t="s">
        <v>127</v>
      </c>
      <c r="C115" s="52">
        <v>44012</v>
      </c>
      <c r="D115" s="65">
        <v>0.96661698956780895</v>
      </c>
      <c r="E115" s="65">
        <v>0.53144560357675097</v>
      </c>
      <c r="F115" s="65">
        <v>0.11177347242921</v>
      </c>
      <c r="G115" s="65">
        <v>0.76784044873792401</v>
      </c>
      <c r="H115" s="65">
        <v>0.24462449361171701</v>
      </c>
      <c r="I115" s="65">
        <v>0.16983483951386699</v>
      </c>
      <c r="J115" s="100">
        <v>1.20577888891347E-2</v>
      </c>
      <c r="K115" s="100">
        <v>2.90279627163781E-2</v>
      </c>
      <c r="L115" s="100">
        <v>1.71350731287639E-2</v>
      </c>
      <c r="M115" s="65">
        <v>0.58461470386512904</v>
      </c>
      <c r="N115" s="65">
        <v>1.40740346205059</v>
      </c>
      <c r="O115" s="65">
        <v>0.41110971708173799</v>
      </c>
      <c r="P115" s="110">
        <v>7.8375341930441503E-2</v>
      </c>
      <c r="Q115" s="110">
        <v>7.0997145954556501E-2</v>
      </c>
      <c r="R115" s="65">
        <v>0.54752259270800796</v>
      </c>
      <c r="S115" s="65">
        <v>0.59362549800796804</v>
      </c>
      <c r="T115" s="100">
        <v>3.3597631957390099</v>
      </c>
      <c r="U115" s="100">
        <v>19.657075101277599</v>
      </c>
      <c r="V115" s="100">
        <v>115.742300917431</v>
      </c>
      <c r="W115" s="65">
        <v>8.8225727027137948E-2</v>
      </c>
      <c r="X115" s="56">
        <v>0.62</v>
      </c>
      <c r="Y115" s="65">
        <v>0.93370062564198331</v>
      </c>
      <c r="Z115" s="56">
        <v>2.6</v>
      </c>
      <c r="AA115" s="65">
        <v>0.90478666815372877</v>
      </c>
      <c r="AB115" s="66">
        <v>0.91981379371431071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</row>
    <row r="116" spans="1:71" ht="18" customHeight="1">
      <c r="A116" s="128"/>
      <c r="B116" t="s">
        <v>128</v>
      </c>
      <c r="C116" s="52">
        <v>43982</v>
      </c>
      <c r="D116" s="65">
        <v>1.58381670533642</v>
      </c>
      <c r="E116" s="65">
        <v>1.44847254447022</v>
      </c>
      <c r="F116" s="65">
        <v>0.47186774941995302</v>
      </c>
      <c r="G116" s="65">
        <v>0.70797326880976996</v>
      </c>
      <c r="H116" s="65">
        <v>2.7364903790759301E-2</v>
      </c>
      <c r="I116" s="65">
        <v>-1.9241848139186501E-2</v>
      </c>
      <c r="J116" s="100">
        <v>-4.5419312726926496E-3</v>
      </c>
      <c r="K116" s="100">
        <v>-1.8256354195135199E-2</v>
      </c>
      <c r="L116" s="100">
        <v>-5.0480274713971401E-3</v>
      </c>
      <c r="M116" s="65">
        <v>0.75121367474876499</v>
      </c>
      <c r="N116" s="65">
        <v>3.0195135282864101</v>
      </c>
      <c r="O116" s="65">
        <v>0.54543195766144004</v>
      </c>
      <c r="P116" s="110">
        <v>0.36523934771173</v>
      </c>
      <c r="Q116" s="110">
        <v>0.236044440213769</v>
      </c>
      <c r="R116" s="65">
        <v>0.104793178937665</v>
      </c>
      <c r="S116" s="65">
        <v>0.360637713029136</v>
      </c>
      <c r="T116" s="100">
        <v>1.8363785952445999</v>
      </c>
      <c r="U116" s="100">
        <v>1.93550791565848</v>
      </c>
      <c r="V116" s="100">
        <v>-100.588462275449</v>
      </c>
      <c r="W116" s="65">
        <v>0.12977611044372667</v>
      </c>
      <c r="X116" s="56">
        <v>1.49</v>
      </c>
      <c r="Y116" s="65">
        <v>1.1076659459018399</v>
      </c>
      <c r="Z116" s="56">
        <v>2.1</v>
      </c>
      <c r="AA116" s="65">
        <v>0.764445240737607</v>
      </c>
      <c r="AB116" s="66">
        <v>0.8256120891844384</v>
      </c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</row>
    <row r="117" spans="1:71" ht="18" customHeight="1">
      <c r="A117" s="128"/>
      <c r="B117" t="s">
        <v>129</v>
      </c>
      <c r="C117" s="52">
        <v>44012</v>
      </c>
      <c r="D117" s="65">
        <v>1.6152535151256899</v>
      </c>
      <c r="E117" s="65">
        <v>1.4716659565402599</v>
      </c>
      <c r="F117" s="65">
        <v>1.0187473370259901</v>
      </c>
      <c r="G117" s="65">
        <v>0.77915742793791498</v>
      </c>
      <c r="H117" s="65">
        <v>0.36718403547671802</v>
      </c>
      <c r="I117" s="65">
        <v>0.22128603104212799</v>
      </c>
      <c r="J117" s="100">
        <v>1.2826444581534001E-2</v>
      </c>
      <c r="K117" s="100">
        <v>4.10699588477366E-2</v>
      </c>
      <c r="L117" s="100">
        <v>1.78351615285718E-2</v>
      </c>
      <c r="M117" s="65">
        <v>0.68769278223318897</v>
      </c>
      <c r="N117" s="65">
        <v>2.2019753086419702</v>
      </c>
      <c r="O117" s="65">
        <v>0.57033736473583696</v>
      </c>
      <c r="P117" s="110">
        <v>6.8806639611875595E-2</v>
      </c>
      <c r="Q117" s="110">
        <v>5.7963191445609699E-2</v>
      </c>
      <c r="R117" s="65">
        <v>0.44611973392461102</v>
      </c>
      <c r="S117" s="65">
        <v>0.582504970178926</v>
      </c>
      <c r="T117" s="100">
        <v>4.3874925102880598</v>
      </c>
      <c r="U117" s="100">
        <v>23.6399263858093</v>
      </c>
      <c r="V117" s="100">
        <v>106.829727454909</v>
      </c>
      <c r="W117" s="65">
        <v>0.11693251541403159</v>
      </c>
      <c r="X117" s="58">
        <v>1.1599999999999999</v>
      </c>
      <c r="Y117" s="49">
        <v>1.0151534284631898</v>
      </c>
      <c r="Z117" s="58">
        <v>2.2999999999999998</v>
      </c>
      <c r="AA117" s="49">
        <v>0.85146056624464517</v>
      </c>
      <c r="AB117" s="68">
        <v>0.87116879834040939</v>
      </c>
    </row>
    <row r="118" spans="1:71" ht="18" customHeight="1">
      <c r="A118" s="128"/>
      <c r="B118" t="s">
        <v>130</v>
      </c>
      <c r="C118" s="52">
        <v>44012</v>
      </c>
      <c r="D118" s="65">
        <v>1.21447028423772</v>
      </c>
      <c r="E118" s="65">
        <v>1.0155038759689901</v>
      </c>
      <c r="F118" s="65">
        <v>0.59069767441860399</v>
      </c>
      <c r="G118" s="65">
        <v>0.46139088729016697</v>
      </c>
      <c r="H118" s="65">
        <v>0.29256594724220603</v>
      </c>
      <c r="I118" s="65">
        <v>0.18800959232613901</v>
      </c>
      <c r="J118" s="100">
        <v>1.0326115589273399E-2</v>
      </c>
      <c r="K118" s="100">
        <v>2.6377767310409798E-2</v>
      </c>
      <c r="L118" s="100">
        <v>1.39617509090404E-2</v>
      </c>
      <c r="M118" s="65">
        <v>0.60852958221379205</v>
      </c>
      <c r="N118" s="65">
        <v>1.5544714353004501</v>
      </c>
      <c r="O118" s="65">
        <v>0.45906890401485001</v>
      </c>
      <c r="P118" s="110">
        <v>6.67905308005253E-2</v>
      </c>
      <c r="Q118" s="110">
        <v>5.4923344397028603E-2</v>
      </c>
      <c r="R118" s="65">
        <v>0.38513189448441199</v>
      </c>
      <c r="S118" s="65">
        <v>0.54047322540473197</v>
      </c>
      <c r="T118" s="100">
        <v>3.0179255662472202</v>
      </c>
      <c r="U118" s="100">
        <v>21.510499683453201</v>
      </c>
      <c r="V118" s="100">
        <v>114.41171387755099</v>
      </c>
      <c r="W118" s="49">
        <v>0.12056016245592517</v>
      </c>
      <c r="X118" s="58">
        <v>1.39</v>
      </c>
      <c r="Y118" s="49">
        <v>0.93797371843745792</v>
      </c>
      <c r="Z118" s="58">
        <v>2.4</v>
      </c>
      <c r="AA118" s="49">
        <v>0.80379831211843489</v>
      </c>
      <c r="AB118" s="68">
        <v>0.85944651960428553</v>
      </c>
    </row>
    <row r="119" spans="1:71" ht="18" customHeight="1">
      <c r="A119" s="128"/>
      <c r="B119" t="s">
        <v>131</v>
      </c>
      <c r="C119" s="52">
        <v>44012</v>
      </c>
      <c r="D119" s="65">
        <v>1.6955453477192599</v>
      </c>
      <c r="E119" s="65">
        <v>1.5780365345582701</v>
      </c>
      <c r="F119" s="65">
        <v>1.31941031941031</v>
      </c>
      <c r="G119" s="65">
        <v>0.47222222222222199</v>
      </c>
      <c r="H119" s="65">
        <v>-1.11805555555555</v>
      </c>
      <c r="I119" s="65">
        <v>-0.90773809523809501</v>
      </c>
      <c r="J119" s="100">
        <v>-2.5705135408472801E-2</v>
      </c>
      <c r="K119" s="100">
        <v>-8.4114726971869794E-2</v>
      </c>
      <c r="L119" s="100">
        <v>-4.7226986849628297E-2</v>
      </c>
      <c r="M119" s="65">
        <v>0.69440386560287604</v>
      </c>
      <c r="N119" s="65">
        <v>2.2722927008641198</v>
      </c>
      <c r="O119" s="65">
        <v>0.45013395339432799</v>
      </c>
      <c r="P119" s="110">
        <v>5.5715233252266197E-2</v>
      </c>
      <c r="Q119" s="110">
        <v>2.8317788515563502E-2</v>
      </c>
      <c r="R119" s="65">
        <v>0.889880952380952</v>
      </c>
      <c r="S119" s="65">
        <v>0.87513935340022297</v>
      </c>
      <c r="T119" s="100">
        <v>1.76901452472881</v>
      </c>
      <c r="U119" s="100">
        <v>19.090615079365001</v>
      </c>
      <c r="V119" s="100">
        <v>-21.030972677595599</v>
      </c>
      <c r="W119" s="49">
        <v>0.14306478419202898</v>
      </c>
      <c r="X119" s="58">
        <v>1.32</v>
      </c>
      <c r="Y119" s="49">
        <v>1.0524774225042715</v>
      </c>
      <c r="Z119" s="58">
        <v>2.2000000000000002</v>
      </c>
      <c r="AA119" s="49">
        <v>0.59856509056089691</v>
      </c>
      <c r="AB119" s="68">
        <v>0.67986030888901228</v>
      </c>
    </row>
    <row r="120" spans="1:71" ht="18" customHeight="1">
      <c r="A120" s="128"/>
      <c r="B120" t="s">
        <v>132</v>
      </c>
      <c r="C120" s="52">
        <v>44012</v>
      </c>
      <c r="D120" s="65">
        <v>1.9599776596907099</v>
      </c>
      <c r="E120" s="65">
        <v>1.8503786115821499</v>
      </c>
      <c r="F120" s="65">
        <v>1.0494765001800901</v>
      </c>
      <c r="G120" s="65">
        <v>0.91585454302005098</v>
      </c>
      <c r="H120" s="65">
        <v>0.222231396659265</v>
      </c>
      <c r="I120" s="65">
        <v>0.16492228383972499</v>
      </c>
      <c r="J120" s="100">
        <v>3.6226467073265101E-2</v>
      </c>
      <c r="K120" s="100">
        <v>4.9557949993092897E-2</v>
      </c>
      <c r="L120" s="100">
        <v>5.5497239988019503E-2</v>
      </c>
      <c r="M120" s="65">
        <v>0.26900795778852499</v>
      </c>
      <c r="N120" s="65">
        <v>0.36800394840782802</v>
      </c>
      <c r="O120" s="65">
        <v>3.2417366907702402E-2</v>
      </c>
      <c r="P120" s="110">
        <v>0.303277437554207</v>
      </c>
      <c r="Q120" s="110">
        <v>0.21965780626995601</v>
      </c>
      <c r="R120" s="65">
        <v>0.34835362247687401</v>
      </c>
      <c r="S120" s="65">
        <v>0.78245536486460499</v>
      </c>
      <c r="T120" s="100">
        <v>6.7252229952831</v>
      </c>
      <c r="U120" s="100">
        <v>22.3806500444047</v>
      </c>
      <c r="V120" s="100">
        <v>135.70422094175399</v>
      </c>
      <c r="W120" s="65">
        <v>0.10337468357155609</v>
      </c>
      <c r="X120" s="58">
        <v>1.04</v>
      </c>
      <c r="Y120" s="49">
        <v>0.97866862817212208</v>
      </c>
      <c r="Z120" s="58">
        <v>2.9</v>
      </c>
      <c r="AA120" s="49">
        <v>0.96247590069497679</v>
      </c>
      <c r="AB120" s="68">
        <v>1.6470293364564113</v>
      </c>
    </row>
    <row r="121" spans="1:71" ht="18" customHeight="1">
      <c r="A121" s="128"/>
      <c r="B121" t="s">
        <v>133</v>
      </c>
      <c r="C121" s="52">
        <v>44012</v>
      </c>
      <c r="D121" s="65">
        <v>0.81235011990407602</v>
      </c>
      <c r="E121" s="65">
        <v>0.63129496402877605</v>
      </c>
      <c r="F121" s="65">
        <v>0.166067146282973</v>
      </c>
      <c r="G121" s="65">
        <v>0.89899553571428503</v>
      </c>
      <c r="H121" s="65">
        <v>0.4296875</v>
      </c>
      <c r="I121" s="65">
        <v>0.35435267857142799</v>
      </c>
      <c r="J121" s="100">
        <v>2.6950174008997501E-2</v>
      </c>
      <c r="K121" s="100">
        <v>8.5063630274614804E-2</v>
      </c>
      <c r="L121" s="100">
        <v>3.7635881976797299E-2</v>
      </c>
      <c r="M121" s="65">
        <v>0.68317630082335901</v>
      </c>
      <c r="N121" s="65">
        <v>2.1563295378432601</v>
      </c>
      <c r="O121" s="65">
        <v>0.55885829098215301</v>
      </c>
      <c r="P121" s="110">
        <v>8.9514960787252101E-2</v>
      </c>
      <c r="Q121" s="110">
        <v>7.6054664289958399E-2</v>
      </c>
      <c r="R121" s="65">
        <v>0.46595982142857101</v>
      </c>
      <c r="S121" s="65">
        <v>0.39880239520958</v>
      </c>
      <c r="T121" s="100">
        <v>4.6552945746818404</v>
      </c>
      <c r="U121" s="100">
        <v>19.3927310267857</v>
      </c>
      <c r="V121" s="100">
        <v>54.727203149606297</v>
      </c>
      <c r="W121" s="49">
        <v>0.10717277781094266</v>
      </c>
      <c r="X121" s="58">
        <v>0.78</v>
      </c>
      <c r="Y121" s="49">
        <v>0.99611637704054778</v>
      </c>
      <c r="Z121" s="58">
        <v>2.2000000000000002</v>
      </c>
      <c r="AA121" s="49">
        <v>0.9156948119610091</v>
      </c>
      <c r="AB121" s="68">
        <v>1.0495286289426851</v>
      </c>
    </row>
    <row r="122" spans="1:71" ht="18" customHeight="1">
      <c r="A122" s="129"/>
      <c r="B122" s="3" t="s">
        <v>134</v>
      </c>
      <c r="C122" s="53">
        <v>44012</v>
      </c>
      <c r="D122" s="76">
        <v>0.93870967741935396</v>
      </c>
      <c r="E122" s="76">
        <v>0.84580645161290302</v>
      </c>
      <c r="F122" s="76">
        <v>0.56406947890818804</v>
      </c>
      <c r="G122" s="76">
        <v>-0.44618528610354202</v>
      </c>
      <c r="H122" s="76">
        <v>-3.27997275204359</v>
      </c>
      <c r="I122" s="76">
        <v>-3.89441416893732</v>
      </c>
      <c r="J122" s="101">
        <v>-7.9115982341788793E-2</v>
      </c>
      <c r="K122" s="101">
        <v>-0.65788262370540795</v>
      </c>
      <c r="L122" s="101">
        <v>-0.134597301913223</v>
      </c>
      <c r="M122" s="76">
        <v>0.87974149264471802</v>
      </c>
      <c r="N122" s="76">
        <v>7.3154200230149504</v>
      </c>
      <c r="O122" s="76">
        <v>0.69076934026047898</v>
      </c>
      <c r="P122" s="111">
        <v>4.3020836386015199E-2</v>
      </c>
      <c r="Q122" s="111">
        <v>2.0315246121697699E-2</v>
      </c>
      <c r="R122" s="76">
        <v>-0.197547683923705</v>
      </c>
      <c r="S122" s="76">
        <v>1.96896551724137</v>
      </c>
      <c r="T122" s="101">
        <v>2.04968354430379</v>
      </c>
      <c r="U122" s="101">
        <v>12.133344686648501</v>
      </c>
      <c r="V122" s="101">
        <v>-3.1155763512331598</v>
      </c>
      <c r="W122" s="71">
        <v>0.18605706550584711</v>
      </c>
      <c r="X122" s="61">
        <v>1.32</v>
      </c>
      <c r="Y122" s="71">
        <v>1.0776388485024717</v>
      </c>
      <c r="Z122" s="61">
        <v>2.2000000000000002</v>
      </c>
      <c r="AA122" s="71">
        <v>0.45297658328055734</v>
      </c>
      <c r="AB122" s="72">
        <v>0.49506835966311891</v>
      </c>
    </row>
  </sheetData>
  <mergeCells count="21">
    <mergeCell ref="R1:S1"/>
    <mergeCell ref="T1:V1"/>
    <mergeCell ref="W1:X1"/>
    <mergeCell ref="Y1:AB1"/>
    <mergeCell ref="A113:A122"/>
    <mergeCell ref="A3:A12"/>
    <mergeCell ref="A13:A22"/>
    <mergeCell ref="A23:A32"/>
    <mergeCell ref="A33:A42"/>
    <mergeCell ref="A43:A52"/>
    <mergeCell ref="A53:A62"/>
    <mergeCell ref="A63:A72"/>
    <mergeCell ref="A73:A82"/>
    <mergeCell ref="A83:A92"/>
    <mergeCell ref="A93:A102"/>
    <mergeCell ref="A103:A112"/>
    <mergeCell ref="D1:F1"/>
    <mergeCell ref="G1:I1"/>
    <mergeCell ref="J1:L1"/>
    <mergeCell ref="M1:O1"/>
    <mergeCell ref="P1:Q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B353-AE47-469A-8051-75F8DCF378A8}">
  <dimension ref="A1:I35"/>
  <sheetViews>
    <sheetView tabSelected="1" topLeftCell="A7" workbookViewId="0">
      <selection activeCell="I9" sqref="I9"/>
    </sheetView>
  </sheetViews>
  <sheetFormatPr baseColWidth="10" defaultColWidth="11.453125" defaultRowHeight="14.5"/>
  <cols>
    <col min="1" max="1" width="35.453125" customWidth="1"/>
    <col min="9" max="9" width="11.453125" style="12"/>
  </cols>
  <sheetData>
    <row r="1" spans="1:9" ht="43.5" customHeight="1">
      <c r="A1" s="11" t="s">
        <v>229</v>
      </c>
    </row>
    <row r="3" spans="1:9">
      <c r="A3" s="90" t="s">
        <v>228</v>
      </c>
      <c r="B3" s="91" t="s">
        <v>221</v>
      </c>
      <c r="C3" s="91" t="s">
        <v>222</v>
      </c>
      <c r="D3" s="91" t="s">
        <v>223</v>
      </c>
      <c r="E3" s="91" t="s">
        <v>224</v>
      </c>
      <c r="F3" s="91" t="s">
        <v>225</v>
      </c>
      <c r="G3" s="91" t="s">
        <v>226</v>
      </c>
      <c r="I3" s="93" t="s">
        <v>244</v>
      </c>
    </row>
    <row r="4" spans="1:9">
      <c r="A4" s="89" t="s">
        <v>0</v>
      </c>
      <c r="B4" s="92">
        <v>-0.25113126665493701</v>
      </c>
      <c r="C4" s="92">
        <v>0.42717491261665302</v>
      </c>
      <c r="D4" s="92">
        <v>-0.30990803384181997</v>
      </c>
      <c r="E4" s="92">
        <v>-2.4988431948683699E-2</v>
      </c>
      <c r="F4" s="92">
        <v>8.3262954415235194E-2</v>
      </c>
      <c r="G4" s="92">
        <v>4.2400632276463502E-3</v>
      </c>
      <c r="I4" s="12" t="s">
        <v>245</v>
      </c>
    </row>
    <row r="5" spans="1:9">
      <c r="A5" s="79" t="s">
        <v>135</v>
      </c>
      <c r="B5" s="92">
        <v>-0.22261055800990101</v>
      </c>
      <c r="C5" s="92">
        <v>0.317792994797929</v>
      </c>
      <c r="D5" s="92">
        <v>-0.34711502372365499</v>
      </c>
      <c r="E5" s="92">
        <v>0.15512926168730901</v>
      </c>
      <c r="F5" s="92">
        <v>6.5188103923635402E-2</v>
      </c>
      <c r="G5" s="92">
        <v>-9.2043589496241904E-2</v>
      </c>
      <c r="I5" s="12" t="s">
        <v>246</v>
      </c>
    </row>
    <row r="6" spans="1:9">
      <c r="A6" s="79" t="s">
        <v>1</v>
      </c>
      <c r="B6" s="92">
        <v>-0.15096536065226199</v>
      </c>
      <c r="C6" s="92">
        <v>0.19610960540061301</v>
      </c>
      <c r="D6" s="92">
        <v>-0.37909443356281303</v>
      </c>
      <c r="E6" s="92">
        <v>4.1643008959035901E-2</v>
      </c>
      <c r="F6" s="92">
        <v>6.8361808808735505E-2</v>
      </c>
      <c r="G6" s="92">
        <v>-0.103318589045681</v>
      </c>
      <c r="I6" s="12" t="s">
        <v>247</v>
      </c>
    </row>
    <row r="7" spans="1:9">
      <c r="A7" s="80" t="s">
        <v>7</v>
      </c>
      <c r="B7" s="92">
        <v>-0.109740708789693</v>
      </c>
      <c r="C7" s="92">
        <v>-0.37967710772534202</v>
      </c>
      <c r="D7" s="92">
        <v>-5.5160982317088901E-2</v>
      </c>
      <c r="E7" s="92">
        <v>0.419444802016468</v>
      </c>
      <c r="F7" s="92">
        <v>0.31661798568896099</v>
      </c>
      <c r="G7" s="92">
        <v>-0.10107564802018</v>
      </c>
      <c r="I7" s="12" t="s">
        <v>248</v>
      </c>
    </row>
    <row r="8" spans="1:9">
      <c r="A8" s="80" t="s">
        <v>8</v>
      </c>
      <c r="B8" s="92">
        <v>-0.137254416858925</v>
      </c>
      <c r="C8" s="92">
        <v>-0.11541177142329601</v>
      </c>
      <c r="D8" s="92">
        <v>5.4133253055278101E-2</v>
      </c>
      <c r="E8" s="92">
        <v>-2.0702810038990702E-2</v>
      </c>
      <c r="F8" s="92">
        <v>0.30681000498926098</v>
      </c>
      <c r="G8" s="92">
        <v>-5.1144512684315101E-2</v>
      </c>
      <c r="I8" s="12" t="s">
        <v>249</v>
      </c>
    </row>
    <row r="9" spans="1:9">
      <c r="A9" s="80" t="s">
        <v>10</v>
      </c>
      <c r="B9" s="92">
        <v>-0.128230657155607</v>
      </c>
      <c r="C9" s="92">
        <v>-9.5915461544978001E-2</v>
      </c>
      <c r="D9" s="92">
        <v>6.9092506992369504E-2</v>
      </c>
      <c r="E9" s="92">
        <v>-2.1829253676361401E-2</v>
      </c>
      <c r="F9" s="92">
        <v>0.293579623626187</v>
      </c>
      <c r="G9" s="92">
        <v>-5.2876180310392602E-2</v>
      </c>
    </row>
    <row r="10" spans="1:9">
      <c r="A10" s="81" t="s">
        <v>12</v>
      </c>
      <c r="B10" s="92">
        <v>-0.30513955449926999</v>
      </c>
      <c r="C10" s="92">
        <v>-0.102612669977116</v>
      </c>
      <c r="D10" s="92">
        <v>8.0488363774161797E-2</v>
      </c>
      <c r="E10" s="92">
        <v>-0.14629779549538199</v>
      </c>
      <c r="F10" s="92">
        <v>0.33056867186264499</v>
      </c>
      <c r="G10" s="92">
        <v>-2.8962243054760101E-2</v>
      </c>
    </row>
    <row r="11" spans="1:9">
      <c r="A11" s="81" t="s">
        <v>13</v>
      </c>
      <c r="B11" s="92">
        <v>-7.1987339542321005E-2</v>
      </c>
      <c r="C11" s="92">
        <v>-7.7515490334117004E-2</v>
      </c>
      <c r="D11" s="92">
        <v>-1.3664722185535201E-2</v>
      </c>
      <c r="E11" s="92">
        <v>-0.123408010691254</v>
      </c>
      <c r="F11" s="92">
        <v>7.1438925091389605E-2</v>
      </c>
      <c r="G11" s="92">
        <v>-5.2593099161319601E-2</v>
      </c>
    </row>
    <row r="12" spans="1:9">
      <c r="A12" s="81" t="s">
        <v>14</v>
      </c>
      <c r="B12" s="92">
        <v>-0.29039611823573802</v>
      </c>
      <c r="C12" s="92">
        <v>-0.12345851291791</v>
      </c>
      <c r="D12" s="92">
        <v>0.11687930964112</v>
      </c>
      <c r="E12" s="92">
        <v>-0.189634901849946</v>
      </c>
      <c r="F12" s="92">
        <v>0.35663163554085497</v>
      </c>
      <c r="G12" s="92">
        <v>-1.20278000851254E-2</v>
      </c>
    </row>
    <row r="13" spans="1:9">
      <c r="A13" s="82" t="s">
        <v>18</v>
      </c>
      <c r="B13" s="92">
        <v>0.120373767669205</v>
      </c>
      <c r="C13" s="92">
        <v>-0.29133383420334902</v>
      </c>
      <c r="D13" s="92">
        <v>-0.22113343775796401</v>
      </c>
      <c r="E13" s="92">
        <v>-0.275392004333813</v>
      </c>
      <c r="F13" s="92">
        <v>-5.10372103171065E-2</v>
      </c>
      <c r="G13" s="92">
        <v>-0.47645692841575399</v>
      </c>
    </row>
    <row r="14" spans="1:9">
      <c r="A14" s="82" t="s">
        <v>19</v>
      </c>
      <c r="B14" s="92">
        <v>2.1627320332060899E-3</v>
      </c>
      <c r="C14" s="92">
        <v>-8.0454358489443795E-2</v>
      </c>
      <c r="D14" s="92">
        <v>-2.8316735339101302E-2</v>
      </c>
      <c r="E14" s="92">
        <v>-8.8817957498117495E-2</v>
      </c>
      <c r="F14" s="92">
        <v>1.6674464993567902E-2</v>
      </c>
      <c r="G14" s="92">
        <v>-6.4327730464855196E-2</v>
      </c>
    </row>
    <row r="15" spans="1:9">
      <c r="A15" s="82" t="s">
        <v>20</v>
      </c>
      <c r="B15" s="92">
        <v>0.11163518736328699</v>
      </c>
      <c r="C15" s="92">
        <v>-0.19726395500681501</v>
      </c>
      <c r="D15" s="92">
        <v>-0.36781770777295297</v>
      </c>
      <c r="E15" s="92">
        <v>-0.245893686686388</v>
      </c>
      <c r="F15" s="92">
        <v>-0.109898973478381</v>
      </c>
      <c r="G15" s="92">
        <v>-0.47228698702128102</v>
      </c>
    </row>
    <row r="16" spans="1:9">
      <c r="A16" s="83" t="s">
        <v>28</v>
      </c>
      <c r="B16" s="92">
        <v>-8.8612530540405798E-2</v>
      </c>
      <c r="C16" s="92">
        <v>9.9541661080612895E-2</v>
      </c>
      <c r="D16" s="92">
        <v>0.100919654763703</v>
      </c>
      <c r="E16" s="92">
        <v>-0.27664352163823003</v>
      </c>
      <c r="F16" s="92">
        <v>0.30649535520627202</v>
      </c>
      <c r="G16" s="92">
        <v>2.8383388101090101E-2</v>
      </c>
    </row>
    <row r="17" spans="1:7">
      <c r="A17" s="83" t="s">
        <v>29</v>
      </c>
      <c r="B17" s="92">
        <v>-0.18428690058398001</v>
      </c>
      <c r="C17" s="92">
        <v>0.153981231595334</v>
      </c>
      <c r="D17" s="92">
        <v>9.0054261086916207E-2</v>
      </c>
      <c r="E17" s="92">
        <v>-0.56559603415239801</v>
      </c>
      <c r="F17" s="92">
        <v>-0.12189717556107001</v>
      </c>
      <c r="G17" s="92">
        <v>9.6366353041303796E-2</v>
      </c>
    </row>
    <row r="18" spans="1:7">
      <c r="A18" s="84" t="s">
        <v>189</v>
      </c>
      <c r="B18" s="92">
        <v>-1.5854857048641102E-2</v>
      </c>
      <c r="C18" s="92">
        <v>-9.3244767874863105E-2</v>
      </c>
      <c r="D18" s="92">
        <v>8.4950424021215401E-2</v>
      </c>
      <c r="E18" s="92">
        <v>8.1434611522521794E-2</v>
      </c>
      <c r="F18" s="92">
        <v>7.4554305104638494E-2</v>
      </c>
      <c r="G18" s="92">
        <v>-7.2849510933547496E-2</v>
      </c>
    </row>
    <row r="19" spans="1:7" ht="29">
      <c r="A19" s="84" t="s">
        <v>162</v>
      </c>
      <c r="B19" s="92">
        <v>-2.4600624648315399E-2</v>
      </c>
      <c r="C19" s="92">
        <v>-1.99741458175626E-2</v>
      </c>
      <c r="D19" s="92">
        <v>1.0317984185996601E-2</v>
      </c>
      <c r="E19" s="92">
        <v>-2.818142698902E-2</v>
      </c>
      <c r="F19" s="92">
        <v>4.8218016575124201E-2</v>
      </c>
      <c r="G19" s="92">
        <v>-9.2150637582313302E-2</v>
      </c>
    </row>
    <row r="20" spans="1:7">
      <c r="A20" s="85" t="s">
        <v>167</v>
      </c>
      <c r="B20" s="92">
        <v>-5.1884289464544597E-2</v>
      </c>
      <c r="C20" s="92">
        <v>-5.19764617067014E-2</v>
      </c>
      <c r="D20" s="92">
        <v>-3.4842738876770599E-2</v>
      </c>
      <c r="E20" s="92">
        <v>-0.114709640027796</v>
      </c>
      <c r="F20" s="92">
        <v>-2.3042023783069E-2</v>
      </c>
      <c r="G20" s="92">
        <v>-7.6385297166114904E-2</v>
      </c>
    </row>
    <row r="21" spans="1:7">
      <c r="A21" s="85" t="s">
        <v>168</v>
      </c>
      <c r="B21" s="92">
        <v>-0.21727649242777899</v>
      </c>
      <c r="C21" s="92">
        <v>5.07075967016569E-2</v>
      </c>
      <c r="D21" s="92">
        <v>-0.145284747131944</v>
      </c>
      <c r="E21" s="92">
        <v>0.36853633767955402</v>
      </c>
      <c r="F21" s="92">
        <v>-8.1575291284186995E-3</v>
      </c>
      <c r="G21" s="92">
        <v>-0.18714280668260899</v>
      </c>
    </row>
    <row r="22" spans="1:7">
      <c r="A22" s="85" t="s">
        <v>169</v>
      </c>
      <c r="B22" s="92">
        <v>-4.46433226889048E-2</v>
      </c>
      <c r="C22" s="92">
        <v>3.3853759622127097E-2</v>
      </c>
      <c r="D22" s="92">
        <v>-0.115934989251316</v>
      </c>
      <c r="E22" s="92">
        <v>-6.6527111781159998E-3</v>
      </c>
      <c r="F22" s="92">
        <v>-2.77901295556486E-2</v>
      </c>
      <c r="G22" s="92">
        <v>-2.59923310649748E-2</v>
      </c>
    </row>
    <row r="23" spans="1:7">
      <c r="A23" s="86" t="s">
        <v>141</v>
      </c>
      <c r="B23" s="92">
        <v>0.31565051528948002</v>
      </c>
      <c r="C23" s="92">
        <v>0.21089865050151099</v>
      </c>
      <c r="D23" s="92">
        <v>-6.2961704075462699E-2</v>
      </c>
      <c r="E23" s="92">
        <v>-6.7597736325103797E-2</v>
      </c>
      <c r="F23" s="92">
        <v>0.31108188659930502</v>
      </c>
      <c r="G23" s="92">
        <v>-5.5520962711631497E-2</v>
      </c>
    </row>
    <row r="24" spans="1:7">
      <c r="A24" s="86" t="s">
        <v>142</v>
      </c>
      <c r="B24" s="92">
        <v>0.240267268430988</v>
      </c>
      <c r="C24" s="92">
        <v>0.40421018178384799</v>
      </c>
      <c r="D24" s="92">
        <v>7.9180523478047798E-2</v>
      </c>
      <c r="E24" s="92">
        <v>-1.2808166322990699E-2</v>
      </c>
      <c r="F24" s="92">
        <v>0.27860257726287402</v>
      </c>
      <c r="G24" s="92">
        <v>-0.16832903702200699</v>
      </c>
    </row>
    <row r="25" spans="1:7">
      <c r="A25" s="87" t="s">
        <v>199</v>
      </c>
      <c r="B25" s="92">
        <v>8.1645441216572898E-2</v>
      </c>
      <c r="C25" s="92">
        <v>5.5093527676787699E-2</v>
      </c>
      <c r="D25" s="92">
        <v>0.13578958798591201</v>
      </c>
      <c r="E25" s="92">
        <v>7.4253119537096901E-2</v>
      </c>
      <c r="F25" s="92">
        <v>0.10118757090889</v>
      </c>
      <c r="G25" s="92">
        <v>-7.4795973335776797E-2</v>
      </c>
    </row>
    <row r="26" spans="1:7">
      <c r="A26" s="87" t="s">
        <v>191</v>
      </c>
      <c r="B26" s="92">
        <v>0.14253032659586501</v>
      </c>
      <c r="C26" s="92">
        <v>-0.286779158684623</v>
      </c>
      <c r="D26" s="92">
        <v>-0.57253441529667304</v>
      </c>
      <c r="E26" s="92">
        <v>-0.12718166421830701</v>
      </c>
      <c r="F26" s="92">
        <v>0.17436400021467699</v>
      </c>
      <c r="G26" s="92">
        <v>0.63464947629354196</v>
      </c>
    </row>
    <row r="27" spans="1:7">
      <c r="A27" s="87" t="s">
        <v>200</v>
      </c>
      <c r="B27" s="92">
        <v>-0.55041133200361803</v>
      </c>
      <c r="C27" s="92">
        <v>-8.0239755930185896E-2</v>
      </c>
      <c r="D27" s="92">
        <v>4.8026216598856503E-2</v>
      </c>
      <c r="E27" s="92">
        <v>-1.00335765178987E-2</v>
      </c>
      <c r="F27" s="92">
        <v>-0.33117351081223001</v>
      </c>
      <c r="G27" s="92">
        <v>2.8063383200443E-2</v>
      </c>
    </row>
    <row r="28" spans="1:7">
      <c r="A28" s="88" t="s">
        <v>201</v>
      </c>
      <c r="B28" s="92">
        <v>-0.16069043545932599</v>
      </c>
      <c r="C28" s="92">
        <v>2.5360634523347102E-2</v>
      </c>
      <c r="D28" s="92">
        <v>-5.9465894677892199E-2</v>
      </c>
      <c r="E28" s="92">
        <v>-2.3440277694013401E-2</v>
      </c>
      <c r="F28" s="92">
        <v>-6.54969097179115E-2</v>
      </c>
      <c r="G28" s="92">
        <v>3.5365793541616897E-2</v>
      </c>
    </row>
    <row r="30" spans="1:7">
      <c r="A30" t="s">
        <v>227</v>
      </c>
      <c r="B30" s="39">
        <v>0.26429999999999998</v>
      </c>
      <c r="C30" s="39">
        <v>0.42270000000000002</v>
      </c>
      <c r="D30" s="39">
        <v>0.52649999999999997</v>
      </c>
      <c r="E30" s="39">
        <v>0.6079</v>
      </c>
      <c r="F30" s="39">
        <v>0.67779999999999996</v>
      </c>
      <c r="G30" s="39">
        <v>0.74099999999999999</v>
      </c>
    </row>
    <row r="32" spans="1:7">
      <c r="A32" t="s">
        <v>240</v>
      </c>
      <c r="B32" s="41"/>
      <c r="C32" s="41"/>
    </row>
    <row r="33" spans="1:2">
      <c r="A33" t="s">
        <v>241</v>
      </c>
      <c r="B33" s="41"/>
    </row>
    <row r="34" spans="1:2">
      <c r="A34" t="s">
        <v>242</v>
      </c>
      <c r="B34" s="41"/>
    </row>
    <row r="35" spans="1:2">
      <c r="A35" t="s">
        <v>243</v>
      </c>
      <c r="B35" s="41"/>
    </row>
  </sheetData>
  <conditionalFormatting sqref="B4:B28">
    <cfRule type="colorScale" priority="11">
      <colorScale>
        <cfvo type="min"/>
        <cfvo type="percentile" val="50"/>
        <cfvo type="max"/>
        <color rgb="FFC00000"/>
        <color theme="0"/>
        <color rgb="FF00B050"/>
      </colorScale>
    </cfRule>
    <cfRule type="colorScale" priority="17">
      <colorScale>
        <cfvo type="min"/>
        <cfvo type="percentile" val="50"/>
        <cfvo type="max"/>
        <color rgb="FFC00000"/>
        <color theme="0"/>
        <color rgb="FF00B050"/>
      </colorScale>
    </cfRule>
  </conditionalFormatting>
  <conditionalFormatting sqref="C4:C28">
    <cfRule type="colorScale" priority="9">
      <colorScale>
        <cfvo type="min"/>
        <cfvo type="percentile" val="50"/>
        <cfvo type="max"/>
        <color rgb="FFC00000"/>
        <color theme="0"/>
        <color rgb="FF00B050"/>
      </colorScale>
    </cfRule>
    <cfRule type="colorScale" priority="10">
      <colorScale>
        <cfvo type="min"/>
        <cfvo type="percentile" val="50"/>
        <cfvo type="max"/>
        <color rgb="FFC00000"/>
        <color theme="0"/>
        <color rgb="FF00B050"/>
      </colorScale>
    </cfRule>
  </conditionalFormatting>
  <conditionalFormatting sqref="D4:D28">
    <cfRule type="colorScale" priority="7">
      <colorScale>
        <cfvo type="min"/>
        <cfvo type="percentile" val="50"/>
        <cfvo type="max"/>
        <color rgb="FFC00000"/>
        <color theme="0"/>
        <color rgb="FF00B050"/>
      </colorScale>
    </cfRule>
    <cfRule type="colorScale" priority="8">
      <colorScale>
        <cfvo type="min"/>
        <cfvo type="percentile" val="50"/>
        <cfvo type="max"/>
        <color rgb="FFC00000"/>
        <color theme="0"/>
        <color rgb="FF00B050"/>
      </colorScale>
    </cfRule>
  </conditionalFormatting>
  <conditionalFormatting sqref="E4:E28">
    <cfRule type="colorScale" priority="5">
      <colorScale>
        <cfvo type="min"/>
        <cfvo type="percentile" val="50"/>
        <cfvo type="max"/>
        <color rgb="FFC00000"/>
        <color theme="0"/>
        <color rgb="FF00B050"/>
      </colorScale>
    </cfRule>
    <cfRule type="colorScale" priority="6">
      <colorScale>
        <cfvo type="min"/>
        <cfvo type="percentile" val="50"/>
        <cfvo type="max"/>
        <color rgb="FFC00000"/>
        <color theme="0"/>
        <color rgb="FF00B050"/>
      </colorScale>
    </cfRule>
  </conditionalFormatting>
  <conditionalFormatting sqref="F4:F28">
    <cfRule type="colorScale" priority="3">
      <colorScale>
        <cfvo type="min"/>
        <cfvo type="percentile" val="50"/>
        <cfvo type="max"/>
        <color rgb="FFC00000"/>
        <color theme="0"/>
        <color rgb="FF00B050"/>
      </colorScale>
    </cfRule>
    <cfRule type="colorScale" priority="4">
      <colorScale>
        <cfvo type="min"/>
        <cfvo type="percentile" val="50"/>
        <cfvo type="max"/>
        <color rgb="FFC00000"/>
        <color theme="0"/>
        <color rgb="FF00B050"/>
      </colorScale>
    </cfRule>
  </conditionalFormatting>
  <conditionalFormatting sqref="G4:G28">
    <cfRule type="colorScale" priority="1">
      <colorScale>
        <cfvo type="min"/>
        <cfvo type="percentile" val="50"/>
        <cfvo type="max"/>
        <color rgb="FFC00000"/>
        <color theme="0"/>
        <color rgb="FF00B050"/>
      </colorScale>
    </cfRule>
    <cfRule type="colorScale" priority="2">
      <colorScale>
        <cfvo type="min"/>
        <cfvo type="percentile" val="50"/>
        <cfvo type="max"/>
        <color rgb="FFC00000"/>
        <color theme="0"/>
        <color rgb="FF00B050"/>
      </colorScale>
    </cfRule>
  </conditionalFormatting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F0FD-8F26-406B-8118-2B3DA8E3FB10}">
  <dimension ref="A1:Q125"/>
  <sheetViews>
    <sheetView topLeftCell="A3" workbookViewId="0">
      <selection activeCell="B4" sqref="B4"/>
    </sheetView>
  </sheetViews>
  <sheetFormatPr baseColWidth="10" defaultRowHeight="14.5"/>
  <cols>
    <col min="1" max="1" width="38" bestFit="1" customWidth="1"/>
    <col min="4" max="4" width="38" bestFit="1" customWidth="1"/>
    <col min="7" max="7" width="38" bestFit="1" customWidth="1"/>
    <col min="10" max="10" width="38" bestFit="1" customWidth="1"/>
    <col min="13" max="13" width="38" bestFit="1" customWidth="1"/>
    <col min="16" max="16" width="38" bestFit="1" customWidth="1"/>
  </cols>
  <sheetData>
    <row r="1" spans="1:17" ht="43.5" customHeight="1">
      <c r="A1" s="11" t="s">
        <v>238</v>
      </c>
    </row>
    <row r="3" spans="1:17">
      <c r="A3" s="40" t="s">
        <v>237</v>
      </c>
      <c r="B3" s="40" t="s">
        <v>231</v>
      </c>
      <c r="C3" s="41"/>
      <c r="D3" s="40" t="s">
        <v>237</v>
      </c>
      <c r="E3" s="40" t="s">
        <v>232</v>
      </c>
      <c r="G3" s="40" t="s">
        <v>237</v>
      </c>
      <c r="H3" s="40" t="s">
        <v>233</v>
      </c>
      <c r="J3" s="40" t="s">
        <v>237</v>
      </c>
      <c r="K3" s="40" t="s">
        <v>234</v>
      </c>
      <c r="M3" s="40" t="s">
        <v>237</v>
      </c>
      <c r="N3" s="40" t="s">
        <v>235</v>
      </c>
      <c r="P3" s="40" t="s">
        <v>237</v>
      </c>
      <c r="Q3" s="40" t="s">
        <v>236</v>
      </c>
    </row>
    <row r="4" spans="1:17">
      <c r="A4" t="s">
        <v>110</v>
      </c>
      <c r="B4">
        <v>55.188071519681202</v>
      </c>
      <c r="C4" s="41"/>
      <c r="D4" t="s">
        <v>41</v>
      </c>
      <c r="E4">
        <v>30.402947222379471</v>
      </c>
      <c r="G4" t="s">
        <v>41</v>
      </c>
      <c r="H4">
        <v>303.14102211641989</v>
      </c>
      <c r="J4" t="s">
        <v>41</v>
      </c>
      <c r="K4">
        <v>442.92067456249015</v>
      </c>
      <c r="M4" t="s">
        <v>41</v>
      </c>
      <c r="N4">
        <v>261.4156065308772</v>
      </c>
      <c r="P4" t="s">
        <v>41</v>
      </c>
      <c r="Q4">
        <v>631.06335999217652</v>
      </c>
    </row>
    <row r="5" spans="1:17">
      <c r="A5" t="s">
        <v>206</v>
      </c>
      <c r="B5">
        <v>33.140199346211219</v>
      </c>
      <c r="C5" s="41"/>
      <c r="D5" t="s">
        <v>42</v>
      </c>
      <c r="E5">
        <v>18.70459041893816</v>
      </c>
      <c r="G5" t="s">
        <v>42</v>
      </c>
      <c r="H5">
        <v>285.91021304694141</v>
      </c>
      <c r="J5" t="s">
        <v>42</v>
      </c>
      <c r="K5">
        <v>425.03877650988068</v>
      </c>
      <c r="M5" t="s">
        <v>42</v>
      </c>
      <c r="N5">
        <v>188.83499708886771</v>
      </c>
      <c r="P5" t="s">
        <v>42</v>
      </c>
      <c r="Q5">
        <v>432.30462784785948</v>
      </c>
    </row>
    <row r="6" spans="1:17">
      <c r="A6" t="s">
        <v>88</v>
      </c>
      <c r="B6">
        <v>10.374607978674206</v>
      </c>
      <c r="D6" t="s">
        <v>43</v>
      </c>
      <c r="E6">
        <v>15.077452947899124</v>
      </c>
      <c r="G6" t="s">
        <v>43</v>
      </c>
      <c r="H6">
        <v>210.37889649934502</v>
      </c>
      <c r="J6" t="s">
        <v>43</v>
      </c>
      <c r="K6">
        <v>360.17965569959637</v>
      </c>
      <c r="M6" t="s">
        <v>43</v>
      </c>
      <c r="N6">
        <v>185.28711817553608</v>
      </c>
      <c r="P6" t="s">
        <v>43</v>
      </c>
      <c r="Q6">
        <v>372.2005018476529</v>
      </c>
    </row>
    <row r="7" spans="1:17">
      <c r="A7" t="s">
        <v>220</v>
      </c>
      <c r="B7">
        <v>10.359369018561782</v>
      </c>
      <c r="D7" t="s">
        <v>44</v>
      </c>
      <c r="E7">
        <v>12.401948356321618</v>
      </c>
      <c r="G7" t="s">
        <v>44</v>
      </c>
      <c r="H7">
        <v>191.3293623638304</v>
      </c>
      <c r="J7" t="s">
        <v>44</v>
      </c>
      <c r="K7">
        <v>296.04391923725285</v>
      </c>
      <c r="M7" t="s">
        <v>44</v>
      </c>
      <c r="N7">
        <v>150.26282145357806</v>
      </c>
      <c r="P7" t="s">
        <v>44</v>
      </c>
      <c r="Q7">
        <v>311.54418723082631</v>
      </c>
    </row>
    <row r="8" spans="1:17">
      <c r="A8" t="s">
        <v>96</v>
      </c>
      <c r="B8">
        <v>9.8592906351953378</v>
      </c>
      <c r="D8" t="s">
        <v>45</v>
      </c>
      <c r="E8">
        <v>4.3363226326093258</v>
      </c>
      <c r="G8" t="s">
        <v>45</v>
      </c>
      <c r="H8">
        <v>181.71145420177012</v>
      </c>
      <c r="J8" t="s">
        <v>45</v>
      </c>
      <c r="K8">
        <v>279.9251496545873</v>
      </c>
      <c r="M8" t="s">
        <v>45</v>
      </c>
      <c r="N8">
        <v>141.06255919134378</v>
      </c>
      <c r="P8" t="s">
        <v>45</v>
      </c>
      <c r="Q8">
        <v>248.58039919777116</v>
      </c>
    </row>
    <row r="9" spans="1:17">
      <c r="A9" t="s">
        <v>92</v>
      </c>
      <c r="B9">
        <v>9.6997226888498211</v>
      </c>
      <c r="D9" t="s">
        <v>46</v>
      </c>
      <c r="E9">
        <v>-0.68629406985134778</v>
      </c>
      <c r="G9" t="s">
        <v>46</v>
      </c>
      <c r="H9">
        <v>102.74674409688102</v>
      </c>
      <c r="J9" t="s">
        <v>46</v>
      </c>
      <c r="K9">
        <v>244.25328509445333</v>
      </c>
      <c r="M9" t="s">
        <v>46</v>
      </c>
      <c r="N9">
        <v>130.046459557194</v>
      </c>
      <c r="P9" t="s">
        <v>46</v>
      </c>
      <c r="Q9">
        <v>227.24228412467232</v>
      </c>
    </row>
    <row r="10" spans="1:17">
      <c r="A10" t="s">
        <v>93</v>
      </c>
      <c r="B10">
        <v>9.5074166969317009</v>
      </c>
      <c r="D10" t="s">
        <v>47</v>
      </c>
      <c r="E10">
        <v>-0.89614734342742852</v>
      </c>
      <c r="G10" t="s">
        <v>47</v>
      </c>
      <c r="H10">
        <v>65.023636455066054</v>
      </c>
      <c r="J10" t="s">
        <v>47</v>
      </c>
      <c r="K10">
        <v>224.30727156655189</v>
      </c>
      <c r="M10" t="s">
        <v>47</v>
      </c>
      <c r="N10">
        <v>122.35353483668104</v>
      </c>
      <c r="P10" t="s">
        <v>47</v>
      </c>
      <c r="Q10">
        <v>194.44972490158926</v>
      </c>
    </row>
    <row r="11" spans="1:17">
      <c r="A11" t="s">
        <v>123</v>
      </c>
      <c r="B11">
        <v>9.0500168285353872</v>
      </c>
      <c r="D11" t="s">
        <v>48</v>
      </c>
      <c r="E11">
        <v>-0.97020324055326668</v>
      </c>
      <c r="G11" t="s">
        <v>48</v>
      </c>
      <c r="H11">
        <v>51.099574856534879</v>
      </c>
      <c r="J11" t="s">
        <v>48</v>
      </c>
      <c r="K11">
        <v>190.76251928033716</v>
      </c>
      <c r="M11" t="s">
        <v>48</v>
      </c>
      <c r="N11">
        <v>113.80960316568306</v>
      </c>
      <c r="P11" t="s">
        <v>48</v>
      </c>
      <c r="Q11">
        <v>184.08171644537452</v>
      </c>
    </row>
    <row r="12" spans="1:17">
      <c r="A12" t="s">
        <v>147</v>
      </c>
      <c r="B12">
        <v>5.7793984629885546</v>
      </c>
      <c r="D12" t="s">
        <v>49</v>
      </c>
      <c r="E12">
        <v>-1.0347836429373982</v>
      </c>
      <c r="G12" t="s">
        <v>49</v>
      </c>
      <c r="H12">
        <v>48.113387456607086</v>
      </c>
      <c r="J12" t="s">
        <v>49</v>
      </c>
      <c r="K12">
        <v>165.23977404298728</v>
      </c>
      <c r="M12" t="s">
        <v>49</v>
      </c>
      <c r="N12">
        <v>112.6630057946586</v>
      </c>
      <c r="P12" t="s">
        <v>49</v>
      </c>
      <c r="Q12">
        <v>159.51638363205265</v>
      </c>
    </row>
    <row r="13" spans="1:17">
      <c r="A13" t="s">
        <v>128</v>
      </c>
      <c r="B13">
        <v>3.4152733185152182</v>
      </c>
      <c r="D13" t="s">
        <v>50</v>
      </c>
      <c r="E13">
        <v>-1.2257309182333531</v>
      </c>
      <c r="G13" t="s">
        <v>50</v>
      </c>
      <c r="H13">
        <v>30.428510380972241</v>
      </c>
      <c r="J13" t="s">
        <v>50</v>
      </c>
      <c r="K13">
        <v>163.38496636763099</v>
      </c>
      <c r="M13" t="s">
        <v>50</v>
      </c>
      <c r="N13">
        <v>103.30236039017797</v>
      </c>
      <c r="P13" t="s">
        <v>50</v>
      </c>
      <c r="Q13">
        <v>149.72781163383868</v>
      </c>
    </row>
    <row r="14" spans="1:17">
      <c r="A14" t="s">
        <v>49</v>
      </c>
      <c r="B14">
        <v>1.9321153355984204</v>
      </c>
      <c r="D14" t="s">
        <v>81</v>
      </c>
      <c r="E14">
        <v>-1.8315803947792466</v>
      </c>
      <c r="G14" t="s">
        <v>81</v>
      </c>
      <c r="H14">
        <v>27.200252360032163</v>
      </c>
      <c r="J14" t="s">
        <v>81</v>
      </c>
      <c r="K14">
        <v>160.8375605706604</v>
      </c>
      <c r="M14" t="s">
        <v>81</v>
      </c>
      <c r="N14">
        <v>94.75146756374329</v>
      </c>
      <c r="P14" t="s">
        <v>81</v>
      </c>
      <c r="Q14">
        <v>148.61500538247665</v>
      </c>
    </row>
    <row r="15" spans="1:17">
      <c r="A15" t="s">
        <v>155</v>
      </c>
      <c r="B15">
        <v>1.7477760465050816</v>
      </c>
      <c r="D15" t="s">
        <v>74</v>
      </c>
      <c r="E15">
        <v>-1.9774912807189702</v>
      </c>
      <c r="G15" t="s">
        <v>74</v>
      </c>
      <c r="H15">
        <v>24.788843992960629</v>
      </c>
      <c r="J15" t="s">
        <v>74</v>
      </c>
      <c r="K15">
        <v>157.56226586911282</v>
      </c>
      <c r="M15" t="s">
        <v>74</v>
      </c>
      <c r="N15">
        <v>90.965190930984051</v>
      </c>
      <c r="P15" t="s">
        <v>74</v>
      </c>
      <c r="Q15">
        <v>142.99791920939859</v>
      </c>
    </row>
    <row r="16" spans="1:17">
      <c r="A16" t="s">
        <v>72</v>
      </c>
      <c r="B16">
        <v>1.5294455519346672</v>
      </c>
      <c r="D16" t="s">
        <v>137</v>
      </c>
      <c r="E16">
        <v>-2.6283362500374743</v>
      </c>
      <c r="G16" t="s">
        <v>137</v>
      </c>
      <c r="H16">
        <v>15.205915349521963</v>
      </c>
      <c r="J16" t="s">
        <v>137</v>
      </c>
      <c r="K16">
        <v>138.00986382062098</v>
      </c>
      <c r="M16" t="s">
        <v>137</v>
      </c>
      <c r="N16">
        <v>76.752147998840755</v>
      </c>
      <c r="P16" t="s">
        <v>137</v>
      </c>
      <c r="Q16">
        <v>141.39234573473277</v>
      </c>
    </row>
    <row r="17" spans="1:17">
      <c r="A17" t="s">
        <v>106</v>
      </c>
      <c r="B17">
        <v>1.2002468232800449</v>
      </c>
      <c r="D17" t="s">
        <v>75</v>
      </c>
      <c r="E17">
        <v>-3.0938353561465104</v>
      </c>
      <c r="G17" t="s">
        <v>75</v>
      </c>
      <c r="H17">
        <v>12.868614447528987</v>
      </c>
      <c r="J17" t="s">
        <v>75</v>
      </c>
      <c r="K17">
        <v>133.78599466492452</v>
      </c>
      <c r="M17" t="s">
        <v>75</v>
      </c>
      <c r="N17">
        <v>73.507428184354126</v>
      </c>
      <c r="P17" t="s">
        <v>75</v>
      </c>
      <c r="Q17">
        <v>132.74741258647816</v>
      </c>
    </row>
    <row r="18" spans="1:17">
      <c r="A18" t="s">
        <v>156</v>
      </c>
      <c r="B18">
        <v>0.74902448126025145</v>
      </c>
      <c r="D18" t="s">
        <v>76</v>
      </c>
      <c r="E18">
        <v>-3.8043421411549261</v>
      </c>
      <c r="G18" t="s">
        <v>76</v>
      </c>
      <c r="H18">
        <v>6.2465315851388663</v>
      </c>
      <c r="J18" t="s">
        <v>76</v>
      </c>
      <c r="K18">
        <v>128.11172622132915</v>
      </c>
      <c r="M18" t="s">
        <v>76</v>
      </c>
      <c r="N18">
        <v>71.528992681945539</v>
      </c>
      <c r="P18" t="s">
        <v>76</v>
      </c>
      <c r="Q18">
        <v>123.99564665060925</v>
      </c>
    </row>
    <row r="19" spans="1:17">
      <c r="A19" t="s">
        <v>153</v>
      </c>
      <c r="B19">
        <v>0.66332233847109356</v>
      </c>
      <c r="D19" t="s">
        <v>77</v>
      </c>
      <c r="E19">
        <v>-4.4042258295533738</v>
      </c>
      <c r="G19" t="s">
        <v>77</v>
      </c>
      <c r="H19">
        <v>3.4675059787078433</v>
      </c>
      <c r="J19" t="s">
        <v>77</v>
      </c>
      <c r="K19">
        <v>127.13344041133553</v>
      </c>
      <c r="M19" t="s">
        <v>77</v>
      </c>
      <c r="N19">
        <v>70.820886238631687</v>
      </c>
      <c r="P19" t="s">
        <v>77</v>
      </c>
      <c r="Q19">
        <v>121.36073643725709</v>
      </c>
    </row>
    <row r="20" spans="1:17">
      <c r="A20" t="s">
        <v>196</v>
      </c>
      <c r="B20">
        <v>0.2618690470342841</v>
      </c>
      <c r="D20" t="s">
        <v>78</v>
      </c>
      <c r="E20">
        <v>-4.5949686736811231</v>
      </c>
      <c r="G20" t="s">
        <v>78</v>
      </c>
      <c r="H20">
        <v>3.2292906449271239</v>
      </c>
      <c r="J20" t="s">
        <v>78</v>
      </c>
      <c r="K20">
        <v>123.98899882178549</v>
      </c>
      <c r="M20" t="s">
        <v>78</v>
      </c>
      <c r="N20">
        <v>67.44642407116109</v>
      </c>
      <c r="P20" t="s">
        <v>78</v>
      </c>
      <c r="Q20">
        <v>120.94062135049349</v>
      </c>
    </row>
    <row r="21" spans="1:17">
      <c r="A21" t="s">
        <v>55</v>
      </c>
      <c r="B21">
        <v>-0.20332482694009843</v>
      </c>
      <c r="D21" t="s">
        <v>138</v>
      </c>
      <c r="E21">
        <v>-4.6353788508193761</v>
      </c>
      <c r="G21" t="s">
        <v>138</v>
      </c>
      <c r="H21">
        <v>2.7737902858362036</v>
      </c>
      <c r="J21" t="s">
        <v>138</v>
      </c>
      <c r="K21">
        <v>120.56238889197512</v>
      </c>
      <c r="M21" t="s">
        <v>138</v>
      </c>
      <c r="N21">
        <v>59.925826620595693</v>
      </c>
      <c r="P21" t="s">
        <v>138</v>
      </c>
      <c r="Q21">
        <v>119.5569329486168</v>
      </c>
    </row>
    <row r="22" spans="1:17">
      <c r="A22" t="s">
        <v>149</v>
      </c>
      <c r="B22">
        <v>-0.40141758917079684</v>
      </c>
      <c r="D22" t="s">
        <v>79</v>
      </c>
      <c r="E22">
        <v>-5.2715748938151457</v>
      </c>
      <c r="G22" t="s">
        <v>79</v>
      </c>
      <c r="H22">
        <v>1.7855180981897103</v>
      </c>
      <c r="J22" t="s">
        <v>79</v>
      </c>
      <c r="K22">
        <v>116.55935175022779</v>
      </c>
      <c r="M22" t="s">
        <v>79</v>
      </c>
      <c r="N22">
        <v>54.887179132345565</v>
      </c>
      <c r="P22" t="s">
        <v>79</v>
      </c>
      <c r="Q22">
        <v>117.89620546226755</v>
      </c>
    </row>
    <row r="23" spans="1:17">
      <c r="A23" t="s">
        <v>54</v>
      </c>
      <c r="B23">
        <v>-0.43372593301696283</v>
      </c>
      <c r="D23" t="s">
        <v>80</v>
      </c>
      <c r="E23">
        <v>-5.2917901190085859</v>
      </c>
      <c r="G23" t="s">
        <v>80</v>
      </c>
      <c r="H23">
        <v>0.23040293198563222</v>
      </c>
      <c r="J23" t="s">
        <v>80</v>
      </c>
      <c r="K23">
        <v>111.77675531011273</v>
      </c>
      <c r="M23" t="s">
        <v>80</v>
      </c>
      <c r="N23">
        <v>51.144523787048016</v>
      </c>
      <c r="P23" t="s">
        <v>80</v>
      </c>
      <c r="Q23">
        <v>116.44249830895738</v>
      </c>
    </row>
    <row r="24" spans="1:17">
      <c r="A24" t="s">
        <v>81</v>
      </c>
      <c r="B24">
        <v>-0.636915579291779</v>
      </c>
      <c r="D24" t="s">
        <v>148</v>
      </c>
      <c r="E24">
        <v>-5.3019121784800056</v>
      </c>
      <c r="G24" t="s">
        <v>148</v>
      </c>
      <c r="H24">
        <v>-0.58672472698153078</v>
      </c>
      <c r="J24" t="s">
        <v>148</v>
      </c>
      <c r="K24">
        <v>108.48565375722083</v>
      </c>
      <c r="M24" t="s">
        <v>148</v>
      </c>
      <c r="N24">
        <v>44.303292727478528</v>
      </c>
      <c r="P24" t="s">
        <v>148</v>
      </c>
      <c r="Q24">
        <v>112.95385793508069</v>
      </c>
    </row>
    <row r="25" spans="1:17">
      <c r="A25" t="s">
        <v>68</v>
      </c>
      <c r="B25">
        <v>-0.83099808094804251</v>
      </c>
      <c r="D25" t="s">
        <v>52</v>
      </c>
      <c r="E25">
        <v>-5.374984518696408</v>
      </c>
      <c r="G25" t="s">
        <v>52</v>
      </c>
      <c r="H25">
        <v>-1.1305669005503809</v>
      </c>
      <c r="J25" t="s">
        <v>52</v>
      </c>
      <c r="K25">
        <v>108.45538669481273</v>
      </c>
      <c r="M25" t="s">
        <v>52</v>
      </c>
      <c r="N25">
        <v>38.190575968363873</v>
      </c>
      <c r="P25" t="s">
        <v>52</v>
      </c>
      <c r="Q25">
        <v>110.57428506205655</v>
      </c>
    </row>
    <row r="26" spans="1:17">
      <c r="A26" t="s">
        <v>85</v>
      </c>
      <c r="B26">
        <v>-0.97933892564913227</v>
      </c>
      <c r="D26" t="s">
        <v>53</v>
      </c>
      <c r="E26">
        <v>-5.3928395287880635</v>
      </c>
      <c r="G26" t="s">
        <v>53</v>
      </c>
      <c r="H26">
        <v>-1.2191642609506395</v>
      </c>
      <c r="J26" t="s">
        <v>53</v>
      </c>
      <c r="K26">
        <v>104.06570639884522</v>
      </c>
      <c r="M26" t="s">
        <v>53</v>
      </c>
      <c r="N26">
        <v>35.711263053690359</v>
      </c>
      <c r="P26" t="s">
        <v>53</v>
      </c>
      <c r="Q26">
        <v>108.81981816854399</v>
      </c>
    </row>
    <row r="27" spans="1:17">
      <c r="A27" t="s">
        <v>138</v>
      </c>
      <c r="B27">
        <v>-1.2010695613758013</v>
      </c>
      <c r="D27" t="s">
        <v>149</v>
      </c>
      <c r="E27">
        <v>-6.8052477832546705</v>
      </c>
      <c r="G27" t="s">
        <v>149</v>
      </c>
      <c r="H27">
        <v>-1.879335549689739</v>
      </c>
      <c r="J27" t="s">
        <v>149</v>
      </c>
      <c r="K27">
        <v>101.94808520673688</v>
      </c>
      <c r="M27" t="s">
        <v>149</v>
      </c>
      <c r="N27">
        <v>31.758754966937513</v>
      </c>
      <c r="P27" t="s">
        <v>149</v>
      </c>
      <c r="Q27">
        <v>105.75130703486889</v>
      </c>
    </row>
    <row r="28" spans="1:17">
      <c r="A28" t="s">
        <v>159</v>
      </c>
      <c r="B28">
        <v>-1.3042423209939227</v>
      </c>
      <c r="D28" t="s">
        <v>51</v>
      </c>
      <c r="E28">
        <v>-7.2404640528335777</v>
      </c>
      <c r="G28" t="s">
        <v>51</v>
      </c>
      <c r="H28">
        <v>-1.9637326678340623</v>
      </c>
      <c r="J28" t="s">
        <v>51</v>
      </c>
      <c r="K28">
        <v>98.842227123982539</v>
      </c>
      <c r="M28" t="s">
        <v>51</v>
      </c>
      <c r="N28">
        <v>30.536568017939892</v>
      </c>
      <c r="P28" t="s">
        <v>51</v>
      </c>
      <c r="Q28">
        <v>103.02537911915684</v>
      </c>
    </row>
    <row r="29" spans="1:17">
      <c r="A29" t="s">
        <v>45</v>
      </c>
      <c r="B29">
        <v>-1.3752833919760259</v>
      </c>
      <c r="D29" t="s">
        <v>54</v>
      </c>
      <c r="E29">
        <v>-7.3404595534998922</v>
      </c>
      <c r="G29" t="s">
        <v>54</v>
      </c>
      <c r="H29">
        <v>-3.8468698216332085</v>
      </c>
      <c r="J29" t="s">
        <v>54</v>
      </c>
      <c r="K29">
        <v>98.592244920028008</v>
      </c>
      <c r="M29" t="s">
        <v>54</v>
      </c>
      <c r="N29">
        <v>28.374238457138404</v>
      </c>
      <c r="P29" t="s">
        <v>54</v>
      </c>
      <c r="Q29">
        <v>100.42576169324607</v>
      </c>
    </row>
    <row r="30" spans="1:17">
      <c r="A30" t="s">
        <v>134</v>
      </c>
      <c r="B30">
        <v>-1.4090729516006097</v>
      </c>
      <c r="D30" t="s">
        <v>55</v>
      </c>
      <c r="E30">
        <v>-7.5407486621808015</v>
      </c>
      <c r="G30" t="s">
        <v>55</v>
      </c>
      <c r="H30">
        <v>-5.1853053727886165</v>
      </c>
      <c r="J30" t="s">
        <v>55</v>
      </c>
      <c r="K30">
        <v>98.113923828314299</v>
      </c>
      <c r="M30" t="s">
        <v>55</v>
      </c>
      <c r="N30">
        <v>28.234442252435599</v>
      </c>
      <c r="P30" t="s">
        <v>55</v>
      </c>
      <c r="Q30">
        <v>96.562797499058917</v>
      </c>
    </row>
    <row r="31" spans="1:17">
      <c r="A31" t="s">
        <v>158</v>
      </c>
      <c r="B31">
        <v>-1.6074764507675035</v>
      </c>
      <c r="D31" t="s">
        <v>56</v>
      </c>
      <c r="E31">
        <v>-7.9922478429013379</v>
      </c>
      <c r="G31" t="s">
        <v>56</v>
      </c>
      <c r="H31">
        <v>-7.8724331908506828</v>
      </c>
      <c r="J31" t="s">
        <v>56</v>
      </c>
      <c r="K31">
        <v>96.831225728598028</v>
      </c>
      <c r="M31" t="s">
        <v>56</v>
      </c>
      <c r="N31">
        <v>26.223798994577198</v>
      </c>
      <c r="P31" t="s">
        <v>56</v>
      </c>
      <c r="Q31">
        <v>93.582317713077131</v>
      </c>
    </row>
    <row r="32" spans="1:17">
      <c r="A32" t="s">
        <v>146</v>
      </c>
      <c r="B32">
        <v>-1.6518773069861621</v>
      </c>
      <c r="D32" t="s">
        <v>57</v>
      </c>
      <c r="E32">
        <v>-8.1375409156694278</v>
      </c>
      <c r="G32" t="s">
        <v>57</v>
      </c>
      <c r="H32">
        <v>-7.9600261474052445</v>
      </c>
      <c r="J32" t="s">
        <v>57</v>
      </c>
      <c r="K32">
        <v>91.395105503108212</v>
      </c>
      <c r="M32" t="s">
        <v>57</v>
      </c>
      <c r="N32">
        <v>24.200227197969035</v>
      </c>
      <c r="P32" t="s">
        <v>57</v>
      </c>
      <c r="Q32">
        <v>91.965679853429279</v>
      </c>
    </row>
    <row r="33" spans="1:17">
      <c r="A33" t="s">
        <v>108</v>
      </c>
      <c r="B33">
        <v>-1.6783470699633094</v>
      </c>
      <c r="D33" t="s">
        <v>58</v>
      </c>
      <c r="E33">
        <v>-8.5902460525787738</v>
      </c>
      <c r="G33" t="s">
        <v>58</v>
      </c>
      <c r="H33">
        <v>-8.663620965181055</v>
      </c>
      <c r="J33" t="s">
        <v>58</v>
      </c>
      <c r="K33">
        <v>88.630962344247052</v>
      </c>
      <c r="M33" t="s">
        <v>58</v>
      </c>
      <c r="N33">
        <v>24.108192027784764</v>
      </c>
      <c r="P33" t="s">
        <v>58</v>
      </c>
      <c r="Q33">
        <v>87.450843757789528</v>
      </c>
    </row>
    <row r="34" spans="1:17">
      <c r="A34" t="s">
        <v>91</v>
      </c>
      <c r="B34">
        <v>-2.287343594646492</v>
      </c>
      <c r="D34" t="s">
        <v>107</v>
      </c>
      <c r="E34">
        <v>-8.9929384463872228</v>
      </c>
      <c r="G34" t="s">
        <v>107</v>
      </c>
      <c r="H34">
        <v>-8.8977716893670653</v>
      </c>
      <c r="J34" t="s">
        <v>107</v>
      </c>
      <c r="K34">
        <v>88.422127518228365</v>
      </c>
      <c r="M34" t="s">
        <v>107</v>
      </c>
      <c r="N34">
        <v>22.457066691605849</v>
      </c>
      <c r="P34" t="s">
        <v>107</v>
      </c>
      <c r="Q34">
        <v>85.918826494773199</v>
      </c>
    </row>
    <row r="35" spans="1:17">
      <c r="A35" t="s">
        <v>160</v>
      </c>
      <c r="B35">
        <v>-2.3800406140586734</v>
      </c>
      <c r="D35" t="s">
        <v>100</v>
      </c>
      <c r="E35">
        <v>-9.0288555705986049</v>
      </c>
      <c r="G35" t="s">
        <v>100</v>
      </c>
      <c r="H35">
        <v>-9.315105691196317</v>
      </c>
      <c r="J35" t="s">
        <v>100</v>
      </c>
      <c r="K35">
        <v>81.875832197132098</v>
      </c>
      <c r="M35" t="s">
        <v>100</v>
      </c>
      <c r="N35">
        <v>16.942404511672276</v>
      </c>
      <c r="P35" t="s">
        <v>100</v>
      </c>
      <c r="Q35">
        <v>83.907598889817848</v>
      </c>
    </row>
    <row r="36" spans="1:17">
      <c r="A36" t="s">
        <v>90</v>
      </c>
      <c r="B36">
        <v>-2.5703374048350347</v>
      </c>
      <c r="D36" t="s">
        <v>213</v>
      </c>
      <c r="E36">
        <v>-9.3464658760073007</v>
      </c>
      <c r="G36" t="s">
        <v>213</v>
      </c>
      <c r="H36">
        <v>-9.8196055859628064</v>
      </c>
      <c r="J36" t="s">
        <v>213</v>
      </c>
      <c r="K36">
        <v>80.238611924063676</v>
      </c>
      <c r="M36" t="s">
        <v>213</v>
      </c>
      <c r="N36">
        <v>16.159437540153817</v>
      </c>
      <c r="P36" t="s">
        <v>213</v>
      </c>
      <c r="Q36">
        <v>80.521267195915158</v>
      </c>
    </row>
    <row r="37" spans="1:17">
      <c r="A37" t="s">
        <v>74</v>
      </c>
      <c r="B37">
        <v>-3.0529409869729363</v>
      </c>
      <c r="D37" t="s">
        <v>101</v>
      </c>
      <c r="E37">
        <v>-9.3476431549240697</v>
      </c>
      <c r="G37" t="s">
        <v>101</v>
      </c>
      <c r="H37">
        <v>-11.588173757032836</v>
      </c>
      <c r="J37" t="s">
        <v>101</v>
      </c>
      <c r="K37">
        <v>78.964261690611437</v>
      </c>
      <c r="M37" t="s">
        <v>101</v>
      </c>
      <c r="N37">
        <v>15.478672771288092</v>
      </c>
      <c r="P37" t="s">
        <v>101</v>
      </c>
      <c r="Q37">
        <v>78.262576849052053</v>
      </c>
    </row>
    <row r="38" spans="1:17">
      <c r="A38" t="s">
        <v>144</v>
      </c>
      <c r="B38">
        <v>-3.1337584793294613</v>
      </c>
      <c r="D38" t="s">
        <v>102</v>
      </c>
      <c r="E38">
        <v>-9.7927017876168065</v>
      </c>
      <c r="G38" t="s">
        <v>102</v>
      </c>
      <c r="H38">
        <v>-13.349974122990034</v>
      </c>
      <c r="J38" t="s">
        <v>102</v>
      </c>
      <c r="K38">
        <v>78.372001268349038</v>
      </c>
      <c r="M38" t="s">
        <v>102</v>
      </c>
      <c r="N38">
        <v>15.295277603010897</v>
      </c>
      <c r="P38" t="s">
        <v>102</v>
      </c>
      <c r="Q38">
        <v>77.22428845414683</v>
      </c>
    </row>
    <row r="39" spans="1:17">
      <c r="A39" t="s">
        <v>104</v>
      </c>
      <c r="B39">
        <v>-3.3434641052448075</v>
      </c>
      <c r="D39" t="s">
        <v>103</v>
      </c>
      <c r="E39">
        <v>-10.339890528552017</v>
      </c>
      <c r="G39" t="s">
        <v>103</v>
      </c>
      <c r="H39">
        <v>-14.416592461584445</v>
      </c>
      <c r="J39" t="s">
        <v>103</v>
      </c>
      <c r="K39">
        <v>77.7271368955724</v>
      </c>
      <c r="M39" t="s">
        <v>103</v>
      </c>
      <c r="N39">
        <v>14.514753852277995</v>
      </c>
      <c r="P39" t="s">
        <v>103</v>
      </c>
      <c r="Q39">
        <v>75.250073667499805</v>
      </c>
    </row>
    <row r="40" spans="1:17">
      <c r="A40" t="s">
        <v>57</v>
      </c>
      <c r="B40">
        <v>-3.3517632451300505</v>
      </c>
      <c r="D40" t="s">
        <v>105</v>
      </c>
      <c r="E40">
        <v>-10.357611255843409</v>
      </c>
      <c r="G40" t="s">
        <v>105</v>
      </c>
      <c r="H40">
        <v>-16.349443245551427</v>
      </c>
      <c r="J40" t="s">
        <v>105</v>
      </c>
      <c r="K40">
        <v>77.17212424241707</v>
      </c>
      <c r="M40" t="s">
        <v>105</v>
      </c>
      <c r="N40">
        <v>14.23611873293925</v>
      </c>
      <c r="P40" t="s">
        <v>105</v>
      </c>
      <c r="Q40">
        <v>72.455119210682653</v>
      </c>
    </row>
    <row r="41" spans="1:17">
      <c r="A41" t="s">
        <v>109</v>
      </c>
      <c r="B41">
        <v>-3.3813861035024861</v>
      </c>
      <c r="D41" t="s">
        <v>104</v>
      </c>
      <c r="E41">
        <v>-10.436573559973935</v>
      </c>
      <c r="G41" t="s">
        <v>104</v>
      </c>
      <c r="H41">
        <v>-17.042395396905743</v>
      </c>
      <c r="J41" t="s">
        <v>104</v>
      </c>
      <c r="K41">
        <v>77.105970545780679</v>
      </c>
      <c r="M41" t="s">
        <v>104</v>
      </c>
      <c r="N41">
        <v>12.474204253207953</v>
      </c>
      <c r="P41" t="s">
        <v>104</v>
      </c>
      <c r="Q41">
        <v>69.728347803972184</v>
      </c>
    </row>
    <row r="42" spans="1:17">
      <c r="A42" t="s">
        <v>151</v>
      </c>
      <c r="B42">
        <v>-3.518496630025628</v>
      </c>
      <c r="D42" t="s">
        <v>106</v>
      </c>
      <c r="E42">
        <v>-11.172943966905812</v>
      </c>
      <c r="G42" t="s">
        <v>106</v>
      </c>
      <c r="H42">
        <v>-17.212404869472035</v>
      </c>
      <c r="J42" t="s">
        <v>106</v>
      </c>
      <c r="K42">
        <v>72.550539328991121</v>
      </c>
      <c r="M42" t="s">
        <v>106</v>
      </c>
      <c r="N42">
        <v>11.08242294828829</v>
      </c>
      <c r="P42" t="s">
        <v>106</v>
      </c>
      <c r="Q42">
        <v>67.504717679351955</v>
      </c>
    </row>
    <row r="43" spans="1:17">
      <c r="A43" t="s">
        <v>131</v>
      </c>
      <c r="B43">
        <v>-3.6153979526909397</v>
      </c>
      <c r="D43" t="s">
        <v>144</v>
      </c>
      <c r="E43">
        <v>-11.445033246836225</v>
      </c>
      <c r="G43" t="s">
        <v>144</v>
      </c>
      <c r="H43">
        <v>-18.533641239459179</v>
      </c>
      <c r="J43" t="s">
        <v>144</v>
      </c>
      <c r="K43">
        <v>71.668224201718999</v>
      </c>
      <c r="M43" t="s">
        <v>144</v>
      </c>
      <c r="N43">
        <v>10.629318056805795</v>
      </c>
      <c r="P43" t="s">
        <v>144</v>
      </c>
      <c r="Q43">
        <v>66.779658983391016</v>
      </c>
    </row>
    <row r="44" spans="1:17">
      <c r="A44" t="s">
        <v>205</v>
      </c>
      <c r="B44">
        <v>-4.308664791570453</v>
      </c>
      <c r="D44" t="s">
        <v>93</v>
      </c>
      <c r="E44">
        <v>-11.688104935017408</v>
      </c>
      <c r="G44" t="s">
        <v>93</v>
      </c>
      <c r="H44">
        <v>-18.720158556976152</v>
      </c>
      <c r="J44" t="s">
        <v>93</v>
      </c>
      <c r="K44">
        <v>69.837348474590641</v>
      </c>
      <c r="M44" t="s">
        <v>93</v>
      </c>
      <c r="N44">
        <v>10.206934503174677</v>
      </c>
      <c r="P44" t="s">
        <v>93</v>
      </c>
      <c r="Q44">
        <v>66.240980265482747</v>
      </c>
    </row>
    <row r="45" spans="1:17">
      <c r="A45" t="s">
        <v>78</v>
      </c>
      <c r="B45">
        <v>-4.3815730440428533</v>
      </c>
      <c r="D45" t="s">
        <v>85</v>
      </c>
      <c r="E45">
        <v>-11.691944764741665</v>
      </c>
      <c r="G45" t="s">
        <v>85</v>
      </c>
      <c r="H45">
        <v>-19.46109246626504</v>
      </c>
      <c r="J45" t="s">
        <v>85</v>
      </c>
      <c r="K45">
        <v>67.456591944110471</v>
      </c>
      <c r="M45" t="s">
        <v>85</v>
      </c>
      <c r="N45">
        <v>9.8947347507317573</v>
      </c>
      <c r="P45" t="s">
        <v>85</v>
      </c>
      <c r="Q45">
        <v>65.711652704850337</v>
      </c>
    </row>
    <row r="46" spans="1:17">
      <c r="A46" t="s">
        <v>120</v>
      </c>
      <c r="B46">
        <v>-4.3907178667265745</v>
      </c>
      <c r="D46" t="s">
        <v>86</v>
      </c>
      <c r="E46">
        <v>-12.349482474192005</v>
      </c>
      <c r="G46" t="s">
        <v>86</v>
      </c>
      <c r="H46">
        <v>-20.000790110568538</v>
      </c>
      <c r="J46" t="s">
        <v>86</v>
      </c>
      <c r="K46">
        <v>66.466358559986546</v>
      </c>
      <c r="M46" t="s">
        <v>86</v>
      </c>
      <c r="N46">
        <v>8.6742824630829585</v>
      </c>
      <c r="P46" t="s">
        <v>86</v>
      </c>
      <c r="Q46">
        <v>65.178954222913333</v>
      </c>
    </row>
    <row r="47" spans="1:17">
      <c r="A47" t="s">
        <v>102</v>
      </c>
      <c r="B47">
        <v>-4.4905440047860701</v>
      </c>
      <c r="D47" t="s">
        <v>87</v>
      </c>
      <c r="E47">
        <v>-12.51161771723816</v>
      </c>
      <c r="G47" t="s">
        <v>87</v>
      </c>
      <c r="H47">
        <v>-20.028573400057269</v>
      </c>
      <c r="J47" t="s">
        <v>87</v>
      </c>
      <c r="K47">
        <v>66.192892887549903</v>
      </c>
      <c r="M47" t="s">
        <v>87</v>
      </c>
      <c r="N47">
        <v>7.8115278423743399</v>
      </c>
      <c r="P47" t="s">
        <v>87</v>
      </c>
      <c r="Q47">
        <v>65.109285264746319</v>
      </c>
    </row>
    <row r="48" spans="1:17">
      <c r="A48" t="s">
        <v>148</v>
      </c>
      <c r="B48">
        <v>-4.5700538068774978</v>
      </c>
      <c r="D48" t="s">
        <v>88</v>
      </c>
      <c r="E48">
        <v>-12.931936524009194</v>
      </c>
      <c r="G48" t="s">
        <v>88</v>
      </c>
      <c r="H48">
        <v>-20.297442007174595</v>
      </c>
      <c r="J48" t="s">
        <v>88</v>
      </c>
      <c r="K48">
        <v>62.376237479206694</v>
      </c>
      <c r="M48" t="s">
        <v>88</v>
      </c>
      <c r="N48">
        <v>7.744295897128235</v>
      </c>
      <c r="P48" t="s">
        <v>88</v>
      </c>
      <c r="Q48">
        <v>64.967215585614611</v>
      </c>
    </row>
    <row r="49" spans="1:17">
      <c r="A49" t="s">
        <v>41</v>
      </c>
      <c r="B49">
        <v>-4.5986738742160123</v>
      </c>
      <c r="D49" t="s">
        <v>89</v>
      </c>
      <c r="E49">
        <v>-12.932220881034031</v>
      </c>
      <c r="G49" t="s">
        <v>89</v>
      </c>
      <c r="H49">
        <v>-21.51695501759303</v>
      </c>
      <c r="J49" t="s">
        <v>89</v>
      </c>
      <c r="K49">
        <v>62.240316226065993</v>
      </c>
      <c r="M49" t="s">
        <v>89</v>
      </c>
      <c r="N49">
        <v>7.5732732728777465</v>
      </c>
      <c r="P49" t="s">
        <v>89</v>
      </c>
      <c r="Q49">
        <v>63.777769606629917</v>
      </c>
    </row>
    <row r="50" spans="1:17">
      <c r="A50" t="s">
        <v>204</v>
      </c>
      <c r="B50">
        <v>-4.6003082290200217</v>
      </c>
      <c r="D50" t="s">
        <v>212</v>
      </c>
      <c r="E50">
        <v>-13.079679511468255</v>
      </c>
      <c r="G50" t="s">
        <v>212</v>
      </c>
      <c r="H50">
        <v>-22.251215825614576</v>
      </c>
      <c r="J50" t="s">
        <v>212</v>
      </c>
      <c r="K50">
        <v>57.670902734027869</v>
      </c>
      <c r="M50" t="s">
        <v>212</v>
      </c>
      <c r="N50">
        <v>7.3063104522576916</v>
      </c>
      <c r="P50" t="s">
        <v>212</v>
      </c>
      <c r="Q50">
        <v>61.955486244941355</v>
      </c>
    </row>
    <row r="51" spans="1:17">
      <c r="A51" t="s">
        <v>101</v>
      </c>
      <c r="B51">
        <v>-4.6611163797099184</v>
      </c>
      <c r="D51" t="s">
        <v>90</v>
      </c>
      <c r="E51">
        <v>-13.117711801045536</v>
      </c>
      <c r="G51" t="s">
        <v>90</v>
      </c>
      <c r="H51">
        <v>-22.864934400619742</v>
      </c>
      <c r="J51" t="s">
        <v>90</v>
      </c>
      <c r="K51">
        <v>56.031125533680189</v>
      </c>
      <c r="M51" t="s">
        <v>90</v>
      </c>
      <c r="N51">
        <v>6.5743502039203756</v>
      </c>
      <c r="P51" t="s">
        <v>90</v>
      </c>
      <c r="Q51">
        <v>61.669624048659927</v>
      </c>
    </row>
    <row r="52" spans="1:17">
      <c r="A52" t="s">
        <v>113</v>
      </c>
      <c r="B52">
        <v>-4.7048183505844454</v>
      </c>
      <c r="D52" t="s">
        <v>91</v>
      </c>
      <c r="E52">
        <v>-14.018245916528789</v>
      </c>
      <c r="G52" t="s">
        <v>91</v>
      </c>
      <c r="H52">
        <v>-23.348410416949132</v>
      </c>
      <c r="J52" t="s">
        <v>91</v>
      </c>
      <c r="K52">
        <v>53.983198380349016</v>
      </c>
      <c r="M52" t="s">
        <v>91</v>
      </c>
      <c r="N52">
        <v>6.3657077337054195</v>
      </c>
      <c r="P52" t="s">
        <v>91</v>
      </c>
      <c r="Q52">
        <v>61.430461786528731</v>
      </c>
    </row>
    <row r="53" spans="1:17">
      <c r="A53" t="s">
        <v>105</v>
      </c>
      <c r="B53">
        <v>-4.8369255937446507</v>
      </c>
      <c r="D53" t="s">
        <v>92</v>
      </c>
      <c r="E53">
        <v>-14.181103860270985</v>
      </c>
      <c r="G53" t="s">
        <v>92</v>
      </c>
      <c r="H53">
        <v>-26.242652387843695</v>
      </c>
      <c r="J53" t="s">
        <v>92</v>
      </c>
      <c r="K53">
        <v>53.301716125325626</v>
      </c>
      <c r="M53" t="s">
        <v>92</v>
      </c>
      <c r="N53">
        <v>6.2646615812114872</v>
      </c>
      <c r="P53" t="s">
        <v>92</v>
      </c>
      <c r="Q53">
        <v>56.94030220255587</v>
      </c>
    </row>
    <row r="54" spans="1:17">
      <c r="A54" t="s">
        <v>53</v>
      </c>
      <c r="B54">
        <v>-4.8627663599595063</v>
      </c>
      <c r="D54" t="s">
        <v>208</v>
      </c>
      <c r="E54">
        <v>-14.224476860097582</v>
      </c>
      <c r="G54" t="s">
        <v>208</v>
      </c>
      <c r="H54">
        <v>-27.084537909299222</v>
      </c>
      <c r="J54" t="s">
        <v>208</v>
      </c>
      <c r="K54">
        <v>53.301254583835906</v>
      </c>
      <c r="M54" t="s">
        <v>208</v>
      </c>
      <c r="N54">
        <v>6.0309428376607581</v>
      </c>
      <c r="P54" t="s">
        <v>208</v>
      </c>
      <c r="Q54">
        <v>55.328669358800546</v>
      </c>
    </row>
    <row r="55" spans="1:17">
      <c r="A55" t="s">
        <v>95</v>
      </c>
      <c r="B55">
        <v>-4.9597827837037318</v>
      </c>
      <c r="D55" t="s">
        <v>209</v>
      </c>
      <c r="E55">
        <v>-15.536454976966962</v>
      </c>
      <c r="G55" t="s">
        <v>209</v>
      </c>
      <c r="H55">
        <v>-30.466157662697363</v>
      </c>
      <c r="J55" t="s">
        <v>209</v>
      </c>
      <c r="K55">
        <v>52.530533603114208</v>
      </c>
      <c r="M55" t="s">
        <v>209</v>
      </c>
      <c r="N55">
        <v>4.4137995629441757</v>
      </c>
      <c r="P55" t="s">
        <v>209</v>
      </c>
      <c r="Q55">
        <v>54.273125880875973</v>
      </c>
    </row>
    <row r="56" spans="1:17">
      <c r="A56" t="s">
        <v>125</v>
      </c>
      <c r="B56">
        <v>-5.2346398186868965</v>
      </c>
      <c r="D56" t="s">
        <v>210</v>
      </c>
      <c r="E56">
        <v>-15.830944217142363</v>
      </c>
      <c r="G56" t="s">
        <v>210</v>
      </c>
      <c r="H56">
        <v>-31.536269095400186</v>
      </c>
      <c r="J56" t="s">
        <v>210</v>
      </c>
      <c r="K56">
        <v>52.510481259419088</v>
      </c>
      <c r="M56" t="s">
        <v>210</v>
      </c>
      <c r="N56">
        <v>4.3579210793330656</v>
      </c>
      <c r="P56" t="s">
        <v>210</v>
      </c>
      <c r="Q56">
        <v>54.235302034421444</v>
      </c>
    </row>
    <row r="57" spans="1:17">
      <c r="A57" t="s">
        <v>145</v>
      </c>
      <c r="B57">
        <v>-5.3637986601077818</v>
      </c>
      <c r="D57" t="s">
        <v>211</v>
      </c>
      <c r="E57">
        <v>-16.045156834064546</v>
      </c>
      <c r="G57" t="s">
        <v>211</v>
      </c>
      <c r="H57">
        <v>-31.606449144207922</v>
      </c>
      <c r="J57" t="s">
        <v>211</v>
      </c>
      <c r="K57">
        <v>51.460313532192103</v>
      </c>
      <c r="M57" t="s">
        <v>211</v>
      </c>
      <c r="N57">
        <v>3.5482817718840178</v>
      </c>
      <c r="P57" t="s">
        <v>211</v>
      </c>
      <c r="Q57">
        <v>53.611421726048633</v>
      </c>
    </row>
    <row r="58" spans="1:17">
      <c r="A58" t="s">
        <v>203</v>
      </c>
      <c r="B58">
        <v>-5.4487854253107564</v>
      </c>
      <c r="D58" t="s">
        <v>108</v>
      </c>
      <c r="E58">
        <v>-16.364805410994851</v>
      </c>
      <c r="G58" t="s">
        <v>108</v>
      </c>
      <c r="H58">
        <v>-33.376553291054975</v>
      </c>
      <c r="J58" t="s">
        <v>108</v>
      </c>
      <c r="K58">
        <v>51.16339452147902</v>
      </c>
      <c r="M58" t="s">
        <v>108</v>
      </c>
      <c r="N58">
        <v>3.4405756165331693</v>
      </c>
      <c r="P58" t="s">
        <v>108</v>
      </c>
      <c r="Q58">
        <v>53.604483488430652</v>
      </c>
    </row>
    <row r="59" spans="1:17">
      <c r="A59" t="s">
        <v>89</v>
      </c>
      <c r="B59">
        <v>-5.7302454439728558</v>
      </c>
      <c r="D59" t="s">
        <v>109</v>
      </c>
      <c r="E59">
        <v>-16.73822513691027</v>
      </c>
      <c r="G59" t="s">
        <v>109</v>
      </c>
      <c r="H59">
        <v>-33.595439262234166</v>
      </c>
      <c r="J59" t="s">
        <v>109</v>
      </c>
      <c r="K59">
        <v>50.152871378051671</v>
      </c>
      <c r="M59" t="s">
        <v>109</v>
      </c>
      <c r="N59">
        <v>3.3249118557468558</v>
      </c>
      <c r="P59" t="s">
        <v>109</v>
      </c>
      <c r="Q59">
        <v>53.486245409178458</v>
      </c>
    </row>
    <row r="60" spans="1:17">
      <c r="A60" t="s">
        <v>111</v>
      </c>
      <c r="B60">
        <v>-5.8023998611985492</v>
      </c>
      <c r="D60" t="s">
        <v>110</v>
      </c>
      <c r="E60">
        <v>-16.826284865857534</v>
      </c>
      <c r="G60" t="s">
        <v>110</v>
      </c>
      <c r="H60">
        <v>-33.694944774103803</v>
      </c>
      <c r="J60" t="s">
        <v>110</v>
      </c>
      <c r="K60">
        <v>48.673443769757661</v>
      </c>
      <c r="M60" t="s">
        <v>110</v>
      </c>
      <c r="N60">
        <v>2.5723881101268815</v>
      </c>
      <c r="P60" t="s">
        <v>110</v>
      </c>
      <c r="Q60">
        <v>52.419003132039329</v>
      </c>
    </row>
    <row r="61" spans="1:17">
      <c r="A61" t="s">
        <v>97</v>
      </c>
      <c r="B61">
        <v>-5.8345757362231199</v>
      </c>
      <c r="D61" t="s">
        <v>207</v>
      </c>
      <c r="E61">
        <v>-18.078980277643065</v>
      </c>
      <c r="G61" t="s">
        <v>207</v>
      </c>
      <c r="H61">
        <v>-35.114396418321839</v>
      </c>
      <c r="J61" t="s">
        <v>207</v>
      </c>
      <c r="K61">
        <v>48.12042414605132</v>
      </c>
      <c r="M61" t="s">
        <v>207</v>
      </c>
      <c r="N61">
        <v>2.356909209220547</v>
      </c>
      <c r="P61" t="s">
        <v>207</v>
      </c>
      <c r="Q61">
        <v>51.080256575045532</v>
      </c>
    </row>
    <row r="62" spans="1:17">
      <c r="A62" t="s">
        <v>61</v>
      </c>
      <c r="B62">
        <v>-5.9547639668526378</v>
      </c>
      <c r="D62" t="s">
        <v>111</v>
      </c>
      <c r="E62">
        <v>-18.19232159495883</v>
      </c>
      <c r="G62" t="s">
        <v>111</v>
      </c>
      <c r="H62">
        <v>-35.957194859280349</v>
      </c>
      <c r="J62" t="s">
        <v>111</v>
      </c>
      <c r="K62">
        <v>46.46157062741392</v>
      </c>
      <c r="M62" t="s">
        <v>111</v>
      </c>
      <c r="N62">
        <v>2.2131692162296934</v>
      </c>
      <c r="P62" t="s">
        <v>111</v>
      </c>
      <c r="Q62">
        <v>49.79547539644954</v>
      </c>
    </row>
    <row r="63" spans="1:17">
      <c r="A63" t="s">
        <v>209</v>
      </c>
      <c r="B63">
        <v>-6.4165229840937403</v>
      </c>
      <c r="D63" t="s">
        <v>112</v>
      </c>
      <c r="E63">
        <v>-19.124231258808351</v>
      </c>
      <c r="G63" t="s">
        <v>112</v>
      </c>
      <c r="H63">
        <v>-37.474407277823609</v>
      </c>
      <c r="J63" t="s">
        <v>112</v>
      </c>
      <c r="K63">
        <v>45.32377003171046</v>
      </c>
      <c r="M63" t="s">
        <v>112</v>
      </c>
      <c r="N63">
        <v>2.1239577208478915</v>
      </c>
      <c r="P63" t="s">
        <v>112</v>
      </c>
      <c r="Q63">
        <v>49.517248895836453</v>
      </c>
    </row>
    <row r="64" spans="1:17">
      <c r="A64" t="s">
        <v>118</v>
      </c>
      <c r="B64">
        <v>-6.4375057286368511</v>
      </c>
      <c r="D64" t="s">
        <v>113</v>
      </c>
      <c r="E64">
        <v>-19.364851741044674</v>
      </c>
      <c r="G64" t="s">
        <v>113</v>
      </c>
      <c r="H64">
        <v>-38.020634070478728</v>
      </c>
      <c r="J64" t="s">
        <v>113</v>
      </c>
      <c r="K64">
        <v>44.721706098801931</v>
      </c>
      <c r="M64" t="s">
        <v>113</v>
      </c>
      <c r="N64">
        <v>1.0257910980411453</v>
      </c>
      <c r="P64" t="s">
        <v>113</v>
      </c>
      <c r="Q64">
        <v>49.417588458389353</v>
      </c>
    </row>
    <row r="65" spans="1:17">
      <c r="A65" t="s">
        <v>56</v>
      </c>
      <c r="B65">
        <v>-6.5994625357064471</v>
      </c>
      <c r="D65" t="s">
        <v>114</v>
      </c>
      <c r="E65">
        <v>-19.448465760237415</v>
      </c>
      <c r="G65" t="s">
        <v>114</v>
      </c>
      <c r="H65">
        <v>-38.99910064434026</v>
      </c>
      <c r="J65" t="s">
        <v>114</v>
      </c>
      <c r="K65">
        <v>44.346528104125007</v>
      </c>
      <c r="M65" t="s">
        <v>114</v>
      </c>
      <c r="N65">
        <v>0.40416174253686304</v>
      </c>
      <c r="P65" t="s">
        <v>114</v>
      </c>
      <c r="Q65">
        <v>46.875821748147246</v>
      </c>
    </row>
    <row r="66" spans="1:17">
      <c r="A66" t="s">
        <v>87</v>
      </c>
      <c r="B66">
        <v>-6.6406675261213417</v>
      </c>
      <c r="D66" t="s">
        <v>145</v>
      </c>
      <c r="E66">
        <v>-20.392115839494039</v>
      </c>
      <c r="G66" t="s">
        <v>145</v>
      </c>
      <c r="H66">
        <v>-40.080853874228595</v>
      </c>
      <c r="J66" t="s">
        <v>145</v>
      </c>
      <c r="K66">
        <v>44.323140329910522</v>
      </c>
      <c r="M66" t="s">
        <v>145</v>
      </c>
      <c r="N66">
        <v>0.28443313321980362</v>
      </c>
      <c r="P66" t="s">
        <v>145</v>
      </c>
      <c r="Q66">
        <v>46.590053026130079</v>
      </c>
    </row>
    <row r="67" spans="1:17">
      <c r="A67" t="s">
        <v>154</v>
      </c>
      <c r="B67">
        <v>-6.941668422421909</v>
      </c>
      <c r="D67" t="s">
        <v>115</v>
      </c>
      <c r="E67">
        <v>-20.832023190364499</v>
      </c>
      <c r="G67" t="s">
        <v>115</v>
      </c>
      <c r="H67">
        <v>-40.09077106346119</v>
      </c>
      <c r="J67" t="s">
        <v>115</v>
      </c>
      <c r="K67">
        <v>43.230346291326768</v>
      </c>
      <c r="M67" t="s">
        <v>115</v>
      </c>
      <c r="N67">
        <v>-4.5614454003552324E-3</v>
      </c>
      <c r="P67" t="s">
        <v>115</v>
      </c>
      <c r="Q67">
        <v>45.51739835203982</v>
      </c>
    </row>
    <row r="68" spans="1:17">
      <c r="A68" t="s">
        <v>47</v>
      </c>
      <c r="B68">
        <v>-6.9595034020378286</v>
      </c>
      <c r="D68" t="s">
        <v>116</v>
      </c>
      <c r="E68">
        <v>-21.442755049803072</v>
      </c>
      <c r="G68" t="s">
        <v>116</v>
      </c>
      <c r="H68">
        <v>-40.338565653202906</v>
      </c>
      <c r="J68" t="s">
        <v>116</v>
      </c>
      <c r="K68">
        <v>42.807417871748974</v>
      </c>
      <c r="M68" t="s">
        <v>116</v>
      </c>
      <c r="N68">
        <v>-0.47969492668966668</v>
      </c>
      <c r="P68" t="s">
        <v>116</v>
      </c>
      <c r="Q68">
        <v>45.24574570535183</v>
      </c>
    </row>
    <row r="69" spans="1:17">
      <c r="A69" t="s">
        <v>50</v>
      </c>
      <c r="B69">
        <v>-7.0723651447771045</v>
      </c>
      <c r="D69" t="s">
        <v>150</v>
      </c>
      <c r="E69">
        <v>-22.805346488004378</v>
      </c>
      <c r="G69" t="s">
        <v>150</v>
      </c>
      <c r="H69">
        <v>-42.518931086580054</v>
      </c>
      <c r="J69" t="s">
        <v>150</v>
      </c>
      <c r="K69">
        <v>41.379360959378147</v>
      </c>
      <c r="M69" t="s">
        <v>150</v>
      </c>
      <c r="N69">
        <v>-0.90821273230644983</v>
      </c>
      <c r="P69" t="s">
        <v>150</v>
      </c>
      <c r="Q69">
        <v>44.835798981973284</v>
      </c>
    </row>
    <row r="70" spans="1:17">
      <c r="A70" t="s">
        <v>112</v>
      </c>
      <c r="B70">
        <v>-7.0806292148292567</v>
      </c>
      <c r="D70" t="s">
        <v>146</v>
      </c>
      <c r="E70">
        <v>-22.838884118788364</v>
      </c>
      <c r="G70" t="s">
        <v>146</v>
      </c>
      <c r="H70">
        <v>-43.332573159798557</v>
      </c>
      <c r="J70" t="s">
        <v>146</v>
      </c>
      <c r="K70">
        <v>40.77100140084422</v>
      </c>
      <c r="M70" t="s">
        <v>146</v>
      </c>
      <c r="N70">
        <v>-0.968583184155549</v>
      </c>
      <c r="P70" t="s">
        <v>146</v>
      </c>
      <c r="Q70">
        <v>44.40638299352031</v>
      </c>
    </row>
    <row r="71" spans="1:17">
      <c r="A71" t="s">
        <v>58</v>
      </c>
      <c r="B71">
        <v>-7.2371730350032788</v>
      </c>
      <c r="D71" t="s">
        <v>151</v>
      </c>
      <c r="E71">
        <v>-23.17182245753397</v>
      </c>
      <c r="G71" t="s">
        <v>151</v>
      </c>
      <c r="H71">
        <v>-46.566548935239183</v>
      </c>
      <c r="J71" t="s">
        <v>151</v>
      </c>
      <c r="K71">
        <v>40.230489520237079</v>
      </c>
      <c r="M71" t="s">
        <v>151</v>
      </c>
      <c r="N71">
        <v>-1.1835369852704349</v>
      </c>
      <c r="P71" t="s">
        <v>151</v>
      </c>
      <c r="Q71">
        <v>43.807593997803465</v>
      </c>
    </row>
    <row r="72" spans="1:17">
      <c r="A72" t="s">
        <v>133</v>
      </c>
      <c r="B72">
        <v>-7.442666960452053</v>
      </c>
      <c r="D72" t="s">
        <v>147</v>
      </c>
      <c r="E72">
        <v>-24.285484012319245</v>
      </c>
      <c r="G72" t="s">
        <v>147</v>
      </c>
      <c r="H72">
        <v>-47.652551532681919</v>
      </c>
      <c r="J72" t="s">
        <v>147</v>
      </c>
      <c r="K72">
        <v>39.298697704738352</v>
      </c>
      <c r="M72" t="s">
        <v>147</v>
      </c>
      <c r="N72">
        <v>-1.6366340523281844</v>
      </c>
      <c r="P72" t="s">
        <v>147</v>
      </c>
      <c r="Q72">
        <v>43.71365477954712</v>
      </c>
    </row>
    <row r="73" spans="1:17">
      <c r="A73" t="s">
        <v>48</v>
      </c>
      <c r="B73">
        <v>-7.6002971449310666</v>
      </c>
      <c r="D73" t="s">
        <v>220</v>
      </c>
      <c r="E73">
        <v>-24.685321166264625</v>
      </c>
      <c r="G73" t="s">
        <v>220</v>
      </c>
      <c r="H73">
        <v>-48.42990970836636</v>
      </c>
      <c r="J73" t="s">
        <v>220</v>
      </c>
      <c r="K73">
        <v>39.150300048754737</v>
      </c>
      <c r="M73" t="s">
        <v>220</v>
      </c>
      <c r="N73">
        <v>-1.7674927591823573</v>
      </c>
      <c r="P73" t="s">
        <v>220</v>
      </c>
      <c r="Q73">
        <v>43.230090233622455</v>
      </c>
    </row>
    <row r="74" spans="1:17">
      <c r="A74" t="s">
        <v>202</v>
      </c>
      <c r="B74">
        <v>-7.8797289659662439</v>
      </c>
      <c r="D74" t="s">
        <v>69</v>
      </c>
      <c r="E74">
        <v>-25.498540587557091</v>
      </c>
      <c r="G74" t="s">
        <v>69</v>
      </c>
      <c r="H74">
        <v>-49.915120119228177</v>
      </c>
      <c r="J74" t="s">
        <v>69</v>
      </c>
      <c r="K74">
        <v>38.880643152551812</v>
      </c>
      <c r="M74" t="s">
        <v>69</v>
      </c>
      <c r="N74">
        <v>-2.3511319157954458</v>
      </c>
      <c r="P74" t="s">
        <v>69</v>
      </c>
      <c r="Q74">
        <v>42.625104857102706</v>
      </c>
    </row>
    <row r="75" spans="1:17">
      <c r="A75" t="s">
        <v>208</v>
      </c>
      <c r="B75">
        <v>-8.0804319335837036</v>
      </c>
      <c r="D75" t="s">
        <v>97</v>
      </c>
      <c r="E75">
        <v>-25.746002518119329</v>
      </c>
      <c r="G75" t="s">
        <v>97</v>
      </c>
      <c r="H75">
        <v>-51.579198973460208</v>
      </c>
      <c r="J75" t="s">
        <v>97</v>
      </c>
      <c r="K75">
        <v>37.656902805128787</v>
      </c>
      <c r="M75" t="s">
        <v>97</v>
      </c>
      <c r="N75">
        <v>-2.4396077749385028</v>
      </c>
      <c r="P75" t="s">
        <v>97</v>
      </c>
      <c r="Q75">
        <v>42.469370776029784</v>
      </c>
    </row>
    <row r="76" spans="1:17">
      <c r="A76" t="s">
        <v>116</v>
      </c>
      <c r="B76">
        <v>-8.3540079882756295</v>
      </c>
      <c r="D76" t="s">
        <v>98</v>
      </c>
      <c r="E76">
        <v>-26.457544858934881</v>
      </c>
      <c r="G76" t="s">
        <v>98</v>
      </c>
      <c r="H76">
        <v>-51.692235606885205</v>
      </c>
      <c r="J76" t="s">
        <v>98</v>
      </c>
      <c r="K76">
        <v>36.960842956257842</v>
      </c>
      <c r="M76" t="s">
        <v>98</v>
      </c>
      <c r="N76">
        <v>-2.5813299334392035</v>
      </c>
      <c r="P76" t="s">
        <v>98</v>
      </c>
      <c r="Q76">
        <v>42.398603808880118</v>
      </c>
    </row>
    <row r="77" spans="1:17">
      <c r="A77" t="s">
        <v>119</v>
      </c>
      <c r="B77">
        <v>-8.4510229647194244</v>
      </c>
      <c r="D77" t="s">
        <v>70</v>
      </c>
      <c r="E77">
        <v>-28.769625668438668</v>
      </c>
      <c r="G77" t="s">
        <v>70</v>
      </c>
      <c r="H77">
        <v>-51.922817659926352</v>
      </c>
      <c r="J77" t="s">
        <v>70</v>
      </c>
      <c r="K77">
        <v>36.600266326994635</v>
      </c>
      <c r="M77" t="s">
        <v>70</v>
      </c>
      <c r="N77">
        <v>-2.7862833112016778</v>
      </c>
      <c r="P77" t="s">
        <v>70</v>
      </c>
      <c r="Q77">
        <v>41.53119110981725</v>
      </c>
    </row>
    <row r="78" spans="1:17">
      <c r="A78" t="s">
        <v>51</v>
      </c>
      <c r="B78">
        <v>-8.5655763124226532</v>
      </c>
      <c r="D78" t="s">
        <v>152</v>
      </c>
      <c r="E78">
        <v>-29.100831007377575</v>
      </c>
      <c r="G78" t="s">
        <v>152</v>
      </c>
      <c r="H78">
        <v>-52.114132295188554</v>
      </c>
      <c r="J78" t="s">
        <v>152</v>
      </c>
      <c r="K78">
        <v>34.486573321836239</v>
      </c>
      <c r="M78" t="s">
        <v>152</v>
      </c>
      <c r="N78">
        <v>-2.9135175495006664</v>
      </c>
      <c r="P78" t="s">
        <v>152</v>
      </c>
      <c r="Q78">
        <v>41.447203227893162</v>
      </c>
    </row>
    <row r="79" spans="1:17">
      <c r="A79" t="s">
        <v>98</v>
      </c>
      <c r="B79">
        <v>-8.6598032770164171</v>
      </c>
      <c r="D79" t="s">
        <v>72</v>
      </c>
      <c r="E79">
        <v>-29.553608281325459</v>
      </c>
      <c r="G79" t="s">
        <v>72</v>
      </c>
      <c r="H79">
        <v>-53.295750764542625</v>
      </c>
      <c r="J79" t="s">
        <v>72</v>
      </c>
      <c r="K79">
        <v>32.433972124312689</v>
      </c>
      <c r="M79" t="s">
        <v>72</v>
      </c>
      <c r="N79">
        <v>-3.0600866705414838</v>
      </c>
      <c r="P79" t="s">
        <v>72</v>
      </c>
      <c r="Q79">
        <v>40.035606368301579</v>
      </c>
    </row>
    <row r="80" spans="1:17">
      <c r="A80" t="s">
        <v>114</v>
      </c>
      <c r="B80">
        <v>-8.8505285941657927</v>
      </c>
      <c r="D80" t="s">
        <v>73</v>
      </c>
      <c r="E80">
        <v>-29.923942849844735</v>
      </c>
      <c r="G80" t="s">
        <v>73</v>
      </c>
      <c r="H80">
        <v>-53.338953429122377</v>
      </c>
      <c r="J80" t="s">
        <v>73</v>
      </c>
      <c r="K80">
        <v>32.32260539196961</v>
      </c>
      <c r="M80" t="s">
        <v>73</v>
      </c>
      <c r="N80">
        <v>-3.3866474925705123</v>
      </c>
      <c r="P80" t="s">
        <v>73</v>
      </c>
      <c r="Q80">
        <v>39.733287734491924</v>
      </c>
    </row>
    <row r="81" spans="1:17">
      <c r="A81" t="s">
        <v>67</v>
      </c>
      <c r="B81">
        <v>-8.8546254863225009</v>
      </c>
      <c r="D81" t="s">
        <v>95</v>
      </c>
      <c r="E81">
        <v>-30.978159886702112</v>
      </c>
      <c r="G81" t="s">
        <v>95</v>
      </c>
      <c r="H81">
        <v>-54.783752422502303</v>
      </c>
      <c r="J81" t="s">
        <v>95</v>
      </c>
      <c r="K81">
        <v>31.828409068537471</v>
      </c>
      <c r="M81" t="s">
        <v>95</v>
      </c>
      <c r="N81">
        <v>-3.50869438179947</v>
      </c>
      <c r="P81" t="s">
        <v>95</v>
      </c>
      <c r="Q81">
        <v>39.258180084177539</v>
      </c>
    </row>
    <row r="82" spans="1:17">
      <c r="A82" t="s">
        <v>77</v>
      </c>
      <c r="B82">
        <v>-8.9583569017766678</v>
      </c>
      <c r="D82" t="s">
        <v>206</v>
      </c>
      <c r="E82">
        <v>-31.532039599265914</v>
      </c>
      <c r="G82" t="s">
        <v>206</v>
      </c>
      <c r="H82">
        <v>-59.343878026244575</v>
      </c>
      <c r="J82" t="s">
        <v>206</v>
      </c>
      <c r="K82">
        <v>29.549326946677166</v>
      </c>
      <c r="M82" t="s">
        <v>206</v>
      </c>
      <c r="N82">
        <v>-4.1846219701146206</v>
      </c>
      <c r="P82" t="s">
        <v>206</v>
      </c>
      <c r="Q82">
        <v>38.455674216753806</v>
      </c>
    </row>
    <row r="83" spans="1:17">
      <c r="A83" t="s">
        <v>213</v>
      </c>
      <c r="B83">
        <v>-8.9818453789199619</v>
      </c>
      <c r="D83" t="s">
        <v>96</v>
      </c>
      <c r="E83">
        <v>-33.110830298372697</v>
      </c>
      <c r="G83" t="s">
        <v>96</v>
      </c>
      <c r="H83">
        <v>-60.770541134830921</v>
      </c>
      <c r="J83" t="s">
        <v>96</v>
      </c>
      <c r="K83">
        <v>29.00930018031324</v>
      </c>
      <c r="M83" t="s">
        <v>96</v>
      </c>
      <c r="N83">
        <v>-4.2282820837729354</v>
      </c>
      <c r="P83" t="s">
        <v>96</v>
      </c>
      <c r="Q83">
        <v>36.898572085897641</v>
      </c>
    </row>
    <row r="84" spans="1:17">
      <c r="A84" t="s">
        <v>121</v>
      </c>
      <c r="B84">
        <v>-9.3109127454193406</v>
      </c>
      <c r="D84" t="s">
        <v>202</v>
      </c>
      <c r="E84">
        <v>-33.155421171772801</v>
      </c>
      <c r="G84" t="s">
        <v>202</v>
      </c>
      <c r="H84">
        <v>-61.153109845580374</v>
      </c>
      <c r="J84" t="s">
        <v>202</v>
      </c>
      <c r="K84">
        <v>28.934931655505977</v>
      </c>
      <c r="M84" t="s">
        <v>202</v>
      </c>
      <c r="N84">
        <v>-4.2853812912681359</v>
      </c>
      <c r="P84" t="s">
        <v>202</v>
      </c>
      <c r="Q84">
        <v>35.436063941086871</v>
      </c>
    </row>
    <row r="85" spans="1:17">
      <c r="A85" t="s">
        <v>212</v>
      </c>
      <c r="B85">
        <v>-9.5952328792316486</v>
      </c>
      <c r="D85" t="s">
        <v>203</v>
      </c>
      <c r="E85">
        <v>-33.364924699939031</v>
      </c>
      <c r="G85" t="s">
        <v>203</v>
      </c>
      <c r="H85">
        <v>-62.0342264407983</v>
      </c>
      <c r="J85" t="s">
        <v>203</v>
      </c>
      <c r="K85">
        <v>28.825634479174461</v>
      </c>
      <c r="M85" t="s">
        <v>203</v>
      </c>
      <c r="N85">
        <v>-4.3330122356293614</v>
      </c>
      <c r="P85" t="s">
        <v>203</v>
      </c>
      <c r="Q85">
        <v>35.283854268182388</v>
      </c>
    </row>
    <row r="86" spans="1:17">
      <c r="A86" t="s">
        <v>207</v>
      </c>
      <c r="B86">
        <v>-10.039576174925744</v>
      </c>
      <c r="D86" t="s">
        <v>153</v>
      </c>
      <c r="E86">
        <v>-34.406312704777065</v>
      </c>
      <c r="G86" t="s">
        <v>153</v>
      </c>
      <c r="H86">
        <v>-66.238169660559151</v>
      </c>
      <c r="J86" t="s">
        <v>153</v>
      </c>
      <c r="K86">
        <v>28.693238834483626</v>
      </c>
      <c r="M86" t="s">
        <v>153</v>
      </c>
      <c r="N86">
        <v>-4.6383459883198537</v>
      </c>
      <c r="P86" t="s">
        <v>153</v>
      </c>
      <c r="Q86">
        <v>34.176271966521583</v>
      </c>
    </row>
    <row r="87" spans="1:17">
      <c r="A87" t="s">
        <v>137</v>
      </c>
      <c r="B87">
        <v>-10.074510189782094</v>
      </c>
      <c r="D87" t="s">
        <v>154</v>
      </c>
      <c r="E87">
        <v>-35.223718524727744</v>
      </c>
      <c r="G87" t="s">
        <v>154</v>
      </c>
      <c r="H87">
        <v>-68.151797713158757</v>
      </c>
      <c r="J87" t="s">
        <v>154</v>
      </c>
      <c r="K87">
        <v>27.932119387628454</v>
      </c>
      <c r="M87" t="s">
        <v>154</v>
      </c>
      <c r="N87">
        <v>-4.9952749482686354</v>
      </c>
      <c r="P87" t="s">
        <v>154</v>
      </c>
      <c r="Q87">
        <v>32.734619931533985</v>
      </c>
    </row>
    <row r="88" spans="1:17">
      <c r="A88" t="s">
        <v>127</v>
      </c>
      <c r="B88">
        <v>-10.086936884734312</v>
      </c>
      <c r="D88" t="s">
        <v>204</v>
      </c>
      <c r="E88">
        <v>-35.555308774773899</v>
      </c>
      <c r="G88" t="s">
        <v>204</v>
      </c>
      <c r="H88">
        <v>-73.251953944677766</v>
      </c>
      <c r="J88" t="s">
        <v>204</v>
      </c>
      <c r="K88">
        <v>27.403719162250187</v>
      </c>
      <c r="M88" t="s">
        <v>204</v>
      </c>
      <c r="N88">
        <v>-6.0653438685212349</v>
      </c>
      <c r="P88" t="s">
        <v>204</v>
      </c>
      <c r="Q88">
        <v>32.497300853780573</v>
      </c>
    </row>
    <row r="89" spans="1:17">
      <c r="A89" t="s">
        <v>86</v>
      </c>
      <c r="B89">
        <v>-10.100631114160301</v>
      </c>
      <c r="D89" t="s">
        <v>118</v>
      </c>
      <c r="E89">
        <v>-37.084862018993078</v>
      </c>
      <c r="G89" t="s">
        <v>118</v>
      </c>
      <c r="H89">
        <v>-73.590390988903835</v>
      </c>
      <c r="J89" t="s">
        <v>118</v>
      </c>
      <c r="K89">
        <v>26.938389757707142</v>
      </c>
      <c r="M89" t="s">
        <v>118</v>
      </c>
      <c r="N89">
        <v>-6.6216113326893824</v>
      </c>
      <c r="P89" t="s">
        <v>118</v>
      </c>
      <c r="Q89">
        <v>31.32789678668756</v>
      </c>
    </row>
    <row r="90" spans="1:17">
      <c r="A90" t="s">
        <v>52</v>
      </c>
      <c r="B90">
        <v>-10.332481216305657</v>
      </c>
      <c r="D90" t="s">
        <v>119</v>
      </c>
      <c r="E90">
        <v>-39.564422203086011</v>
      </c>
      <c r="G90" t="s">
        <v>119</v>
      </c>
      <c r="H90">
        <v>-76.520990102423625</v>
      </c>
      <c r="J90" t="s">
        <v>119</v>
      </c>
      <c r="K90">
        <v>26.882276415146777</v>
      </c>
      <c r="M90" t="s">
        <v>119</v>
      </c>
      <c r="N90">
        <v>-6.8368319285111481</v>
      </c>
      <c r="P90" t="s">
        <v>119</v>
      </c>
      <c r="Q90">
        <v>31.284325861767471</v>
      </c>
    </row>
    <row r="91" spans="1:17">
      <c r="A91" t="s">
        <v>80</v>
      </c>
      <c r="B91">
        <v>-10.334115849156134</v>
      </c>
      <c r="D91" t="s">
        <v>205</v>
      </c>
      <c r="E91">
        <v>-43.109072694739616</v>
      </c>
      <c r="G91" t="s">
        <v>205</v>
      </c>
      <c r="H91">
        <v>-77.816913990009311</v>
      </c>
      <c r="J91" t="s">
        <v>205</v>
      </c>
      <c r="K91">
        <v>26.720066924137122</v>
      </c>
      <c r="M91" t="s">
        <v>205</v>
      </c>
      <c r="N91">
        <v>-6.9607349817359303</v>
      </c>
      <c r="P91" t="s">
        <v>205</v>
      </c>
      <c r="Q91">
        <v>30.665753601231337</v>
      </c>
    </row>
    <row r="92" spans="1:17">
      <c r="A92" t="s">
        <v>130</v>
      </c>
      <c r="B92">
        <v>-10.379683541739574</v>
      </c>
      <c r="D92" t="s">
        <v>120</v>
      </c>
      <c r="E92">
        <v>-45.936915499446918</v>
      </c>
      <c r="G92" t="s">
        <v>120</v>
      </c>
      <c r="H92">
        <v>-79.996762863805898</v>
      </c>
      <c r="J92" t="s">
        <v>120</v>
      </c>
      <c r="K92">
        <v>26.044360275707028</v>
      </c>
      <c r="M92" t="s">
        <v>120</v>
      </c>
      <c r="N92">
        <v>-7.2686433651004894</v>
      </c>
      <c r="P92" t="s">
        <v>120</v>
      </c>
      <c r="Q92">
        <v>30.629311090321707</v>
      </c>
    </row>
    <row r="93" spans="1:17">
      <c r="A93" t="s">
        <v>76</v>
      </c>
      <c r="B93">
        <v>-10.803550502626466</v>
      </c>
      <c r="D93" t="s">
        <v>121</v>
      </c>
      <c r="E93">
        <v>-57.737319179711776</v>
      </c>
      <c r="G93" t="s">
        <v>121</v>
      </c>
      <c r="H93">
        <v>-86.241960505063957</v>
      </c>
      <c r="J93" t="s">
        <v>121</v>
      </c>
      <c r="K93">
        <v>25.597314766583047</v>
      </c>
      <c r="M93" t="s">
        <v>121</v>
      </c>
      <c r="N93">
        <v>-7.9545188680285692</v>
      </c>
      <c r="P93" t="s">
        <v>121</v>
      </c>
      <c r="Q93">
        <v>26.552366690154816</v>
      </c>
    </row>
    <row r="94" spans="1:17">
      <c r="A94" t="s">
        <v>129</v>
      </c>
      <c r="B94">
        <v>-10.965938782965663</v>
      </c>
      <c r="D94" t="s">
        <v>59</v>
      </c>
      <c r="E94">
        <v>-58.631555668093938</v>
      </c>
      <c r="G94" t="s">
        <v>59</v>
      </c>
      <c r="H94">
        <v>-87.994150205663558</v>
      </c>
      <c r="J94" t="s">
        <v>59</v>
      </c>
      <c r="K94">
        <v>24.209343864692453</v>
      </c>
      <c r="M94" t="s">
        <v>59</v>
      </c>
      <c r="N94">
        <v>-9.5530949912644143</v>
      </c>
      <c r="P94" t="s">
        <v>59</v>
      </c>
      <c r="Q94">
        <v>26.171560110739801</v>
      </c>
    </row>
    <row r="95" spans="1:17">
      <c r="A95" t="s">
        <v>126</v>
      </c>
      <c r="B95">
        <v>-11.268734589665863</v>
      </c>
      <c r="D95" t="s">
        <v>60</v>
      </c>
      <c r="E95">
        <v>-62.296554414518312</v>
      </c>
      <c r="G95" t="s">
        <v>60</v>
      </c>
      <c r="H95">
        <v>-89.003086566126711</v>
      </c>
      <c r="J95" t="s">
        <v>60</v>
      </c>
      <c r="K95">
        <v>23.105686615518557</v>
      </c>
      <c r="M95" t="s">
        <v>60</v>
      </c>
      <c r="N95">
        <v>-9.5680553370912858</v>
      </c>
      <c r="P95" t="s">
        <v>60</v>
      </c>
      <c r="Q95">
        <v>25.616445954454782</v>
      </c>
    </row>
    <row r="96" spans="1:17">
      <c r="A96" t="s">
        <v>211</v>
      </c>
      <c r="B96">
        <v>-11.711167777761988</v>
      </c>
      <c r="D96" t="s">
        <v>61</v>
      </c>
      <c r="E96">
        <v>-63.330100215655662</v>
      </c>
      <c r="G96" t="s">
        <v>61</v>
      </c>
      <c r="H96">
        <v>-91.46202824927596</v>
      </c>
      <c r="J96" t="s">
        <v>61</v>
      </c>
      <c r="K96">
        <v>22.601596891793953</v>
      </c>
      <c r="M96" t="s">
        <v>61</v>
      </c>
      <c r="N96">
        <v>-9.6428431204262122</v>
      </c>
      <c r="P96" t="s">
        <v>61</v>
      </c>
      <c r="Q96">
        <v>25.425121487781741</v>
      </c>
    </row>
    <row r="97" spans="1:17">
      <c r="A97" t="s">
        <v>40</v>
      </c>
      <c r="B97">
        <v>-11.989133639022391</v>
      </c>
      <c r="D97" t="s">
        <v>67</v>
      </c>
      <c r="E97">
        <v>-65.724820120665726</v>
      </c>
      <c r="G97" t="s">
        <v>67</v>
      </c>
      <c r="H97">
        <v>-91.708907718063045</v>
      </c>
      <c r="J97" t="s">
        <v>67</v>
      </c>
      <c r="K97">
        <v>20.53701386565611</v>
      </c>
      <c r="M97" t="s">
        <v>67</v>
      </c>
      <c r="N97">
        <v>-9.9499542011756787</v>
      </c>
      <c r="P97" t="s">
        <v>67</v>
      </c>
      <c r="Q97">
        <v>24.810415919045379</v>
      </c>
    </row>
    <row r="98" spans="1:17">
      <c r="A98" t="s">
        <v>132</v>
      </c>
      <c r="B98">
        <v>-12.589464088883949</v>
      </c>
      <c r="D98" t="s">
        <v>62</v>
      </c>
      <c r="E98">
        <v>-67.380980414779273</v>
      </c>
      <c r="G98" t="s">
        <v>62</v>
      </c>
      <c r="H98">
        <v>-94.788404016611423</v>
      </c>
      <c r="J98" t="s">
        <v>62</v>
      </c>
      <c r="K98">
        <v>20.196498517665383</v>
      </c>
      <c r="M98" t="s">
        <v>62</v>
      </c>
      <c r="N98">
        <v>-10.570978413674757</v>
      </c>
      <c r="P98" t="s">
        <v>62</v>
      </c>
      <c r="Q98">
        <v>24.202880063892184</v>
      </c>
    </row>
    <row r="99" spans="1:17">
      <c r="A99" t="s">
        <v>73</v>
      </c>
      <c r="B99">
        <v>-12.76079392583258</v>
      </c>
      <c r="D99" t="s">
        <v>63</v>
      </c>
      <c r="E99">
        <v>-67.535505125845887</v>
      </c>
      <c r="G99" t="s">
        <v>63</v>
      </c>
      <c r="H99">
        <v>-96.072119272119679</v>
      </c>
      <c r="J99" t="s">
        <v>63</v>
      </c>
      <c r="K99">
        <v>18.486083718094605</v>
      </c>
      <c r="M99" t="s">
        <v>63</v>
      </c>
      <c r="N99">
        <v>-10.868719323110742</v>
      </c>
      <c r="P99" t="s">
        <v>63</v>
      </c>
      <c r="Q99">
        <v>23.790665104147347</v>
      </c>
    </row>
    <row r="100" spans="1:17">
      <c r="A100" t="s">
        <v>75</v>
      </c>
      <c r="B100">
        <v>-12.837039739531475</v>
      </c>
      <c r="D100" t="s">
        <v>64</v>
      </c>
      <c r="E100">
        <v>-68.600476353625027</v>
      </c>
      <c r="G100" t="s">
        <v>64</v>
      </c>
      <c r="H100">
        <v>-96.218431680185105</v>
      </c>
      <c r="J100" t="s">
        <v>64</v>
      </c>
      <c r="K100">
        <v>18.324716153695217</v>
      </c>
      <c r="M100" t="s">
        <v>64</v>
      </c>
      <c r="N100">
        <v>-11.190045588165663</v>
      </c>
      <c r="P100" t="s">
        <v>64</v>
      </c>
      <c r="Q100">
        <v>23.181648533281145</v>
      </c>
    </row>
    <row r="101" spans="1:17">
      <c r="A101" t="s">
        <v>42</v>
      </c>
      <c r="B101">
        <v>-13.146174606687403</v>
      </c>
      <c r="D101" t="s">
        <v>84</v>
      </c>
      <c r="E101">
        <v>-70.485564283878574</v>
      </c>
      <c r="G101" t="s">
        <v>84</v>
      </c>
      <c r="H101">
        <v>-97.774965555436722</v>
      </c>
      <c r="J101" t="s">
        <v>84</v>
      </c>
      <c r="K101">
        <v>18.172173894677723</v>
      </c>
      <c r="M101" t="s">
        <v>84</v>
      </c>
      <c r="N101">
        <v>-11.408854320976937</v>
      </c>
      <c r="P101" t="s">
        <v>84</v>
      </c>
      <c r="Q101">
        <v>22.892120739485563</v>
      </c>
    </row>
    <row r="102" spans="1:17">
      <c r="A102" t="s">
        <v>59</v>
      </c>
      <c r="B102">
        <v>-13.778274061629117</v>
      </c>
      <c r="D102" t="s">
        <v>66</v>
      </c>
      <c r="E102">
        <v>-70.597403695439922</v>
      </c>
      <c r="G102" t="s">
        <v>66</v>
      </c>
      <c r="H102">
        <v>-99.200959496662719</v>
      </c>
      <c r="J102" t="s">
        <v>66</v>
      </c>
      <c r="K102">
        <v>16.565133180881702</v>
      </c>
      <c r="M102" t="s">
        <v>66</v>
      </c>
      <c r="N102">
        <v>-11.735535457172386</v>
      </c>
      <c r="P102" t="s">
        <v>66</v>
      </c>
      <c r="Q102">
        <v>21.459272046610664</v>
      </c>
    </row>
    <row r="103" spans="1:17">
      <c r="A103" t="s">
        <v>46</v>
      </c>
      <c r="B103">
        <v>-13.812566363475762</v>
      </c>
      <c r="D103" t="s">
        <v>65</v>
      </c>
      <c r="E103">
        <v>-72.40224834778752</v>
      </c>
      <c r="G103" t="s">
        <v>65</v>
      </c>
      <c r="H103">
        <v>-99.468565833292018</v>
      </c>
      <c r="J103" t="s">
        <v>65</v>
      </c>
      <c r="K103">
        <v>12.014476192770216</v>
      </c>
      <c r="M103" t="s">
        <v>65</v>
      </c>
      <c r="N103">
        <v>-12.123473090830027</v>
      </c>
      <c r="P103" t="s">
        <v>65</v>
      </c>
      <c r="Q103">
        <v>20.626353167689974</v>
      </c>
    </row>
    <row r="104" spans="1:17">
      <c r="A104" t="s">
        <v>70</v>
      </c>
      <c r="B104">
        <v>-14.320924845142484</v>
      </c>
      <c r="D104" t="s">
        <v>196</v>
      </c>
      <c r="E104">
        <v>-74.259250377555105</v>
      </c>
      <c r="G104" t="s">
        <v>196</v>
      </c>
      <c r="H104">
        <v>-108.10416040632866</v>
      </c>
      <c r="J104" t="s">
        <v>196</v>
      </c>
      <c r="K104">
        <v>10.275605327332654</v>
      </c>
      <c r="M104" t="s">
        <v>196</v>
      </c>
      <c r="N104">
        <v>-12.271572218023417</v>
      </c>
      <c r="P104" t="s">
        <v>196</v>
      </c>
      <c r="Q104">
        <v>18.402953869225893</v>
      </c>
    </row>
    <row r="105" spans="1:17">
      <c r="A105" t="s">
        <v>63</v>
      </c>
      <c r="B105">
        <v>-14.717040305448826</v>
      </c>
      <c r="D105" t="s">
        <v>68</v>
      </c>
      <c r="E105">
        <v>-74.379394243323276</v>
      </c>
      <c r="G105" t="s">
        <v>68</v>
      </c>
      <c r="H105">
        <v>-110.43939921175689</v>
      </c>
      <c r="J105" t="s">
        <v>68</v>
      </c>
      <c r="K105">
        <v>10.055070949449831</v>
      </c>
      <c r="M105" t="s">
        <v>68</v>
      </c>
      <c r="N105">
        <v>-12.39655284698355</v>
      </c>
      <c r="P105" t="s">
        <v>68</v>
      </c>
      <c r="Q105">
        <v>16.253507099605468</v>
      </c>
    </row>
    <row r="106" spans="1:17">
      <c r="A106" t="s">
        <v>44</v>
      </c>
      <c r="B106">
        <v>-15.112555169252232</v>
      </c>
      <c r="D106" t="s">
        <v>155</v>
      </c>
      <c r="E106">
        <v>-79.480120760289779</v>
      </c>
      <c r="G106" t="s">
        <v>155</v>
      </c>
      <c r="H106">
        <v>-112.01901678319366</v>
      </c>
      <c r="J106" t="s">
        <v>155</v>
      </c>
      <c r="K106">
        <v>9.7771402718346483</v>
      </c>
      <c r="M106" t="s">
        <v>155</v>
      </c>
      <c r="N106">
        <v>-12.695783729931639</v>
      </c>
      <c r="P106" t="s">
        <v>155</v>
      </c>
      <c r="Q106">
        <v>16.193845352436306</v>
      </c>
    </row>
    <row r="107" spans="1:17">
      <c r="A107" t="s">
        <v>107</v>
      </c>
      <c r="B107">
        <v>-15.521732698831343</v>
      </c>
      <c r="D107" t="s">
        <v>160</v>
      </c>
      <c r="E107">
        <v>-88.674649320372168</v>
      </c>
      <c r="G107" t="s">
        <v>160</v>
      </c>
      <c r="H107">
        <v>-115.79773600792839</v>
      </c>
      <c r="J107" t="s">
        <v>160</v>
      </c>
      <c r="K107">
        <v>8.2501609724662206</v>
      </c>
      <c r="M107" t="s">
        <v>160</v>
      </c>
      <c r="N107">
        <v>-12.79388514878004</v>
      </c>
      <c r="P107" t="s">
        <v>160</v>
      </c>
      <c r="Q107">
        <v>15.844247364974811</v>
      </c>
    </row>
    <row r="108" spans="1:17">
      <c r="A108" t="s">
        <v>66</v>
      </c>
      <c r="B108">
        <v>-16.165447408680748</v>
      </c>
      <c r="D108" t="s">
        <v>156</v>
      </c>
      <c r="E108">
        <v>-95.188434394706931</v>
      </c>
      <c r="G108" t="s">
        <v>156</v>
      </c>
      <c r="H108">
        <v>-116.16096947767134</v>
      </c>
      <c r="J108" t="s">
        <v>156</v>
      </c>
      <c r="K108">
        <v>7.7214229863066954</v>
      </c>
      <c r="M108" t="s">
        <v>156</v>
      </c>
      <c r="N108">
        <v>-13.243374178087302</v>
      </c>
      <c r="P108" t="s">
        <v>156</v>
      </c>
      <c r="Q108">
        <v>15.477360042572709</v>
      </c>
    </row>
    <row r="109" spans="1:17">
      <c r="A109" t="s">
        <v>64</v>
      </c>
      <c r="B109">
        <v>-16.868794241696499</v>
      </c>
      <c r="D109" t="s">
        <v>157</v>
      </c>
      <c r="E109">
        <v>-107.18537570877241</v>
      </c>
      <c r="G109" t="s">
        <v>157</v>
      </c>
      <c r="H109">
        <v>-117.28571581874932</v>
      </c>
      <c r="J109" t="s">
        <v>157</v>
      </c>
      <c r="K109">
        <v>3.9189180689431367</v>
      </c>
      <c r="M109" t="s">
        <v>157</v>
      </c>
      <c r="N109">
        <v>-13.393991329656846</v>
      </c>
      <c r="P109" t="s">
        <v>157</v>
      </c>
      <c r="Q109">
        <v>15.291696136224015</v>
      </c>
    </row>
    <row r="110" spans="1:17">
      <c r="A110" t="s">
        <v>84</v>
      </c>
      <c r="B110">
        <v>-17.120657373048154</v>
      </c>
      <c r="D110" t="s">
        <v>40</v>
      </c>
      <c r="E110">
        <v>-107.21910497041164</v>
      </c>
      <c r="G110" t="s">
        <v>40</v>
      </c>
      <c r="H110">
        <v>-117.68907959504841</v>
      </c>
      <c r="J110" t="s">
        <v>40</v>
      </c>
      <c r="K110">
        <v>3.5627333121179614</v>
      </c>
      <c r="M110" t="s">
        <v>40</v>
      </c>
      <c r="N110">
        <v>-13.502394814907101</v>
      </c>
      <c r="P110" t="s">
        <v>40</v>
      </c>
      <c r="Q110">
        <v>13.518505315913963</v>
      </c>
    </row>
    <row r="111" spans="1:17">
      <c r="A111" t="s">
        <v>62</v>
      </c>
      <c r="B111">
        <v>-17.315172298542368</v>
      </c>
      <c r="D111" t="s">
        <v>158</v>
      </c>
      <c r="E111">
        <v>-107.89990750104552</v>
      </c>
      <c r="G111" t="s">
        <v>158</v>
      </c>
      <c r="H111">
        <v>-118.68184822216335</v>
      </c>
      <c r="J111" t="s">
        <v>158</v>
      </c>
      <c r="K111">
        <v>2.7629815531947899</v>
      </c>
      <c r="M111" t="s">
        <v>158</v>
      </c>
      <c r="N111">
        <v>-15.528474622718429</v>
      </c>
      <c r="P111" t="s">
        <v>158</v>
      </c>
      <c r="Q111">
        <v>12.843069625793358</v>
      </c>
    </row>
    <row r="112" spans="1:17">
      <c r="A112" t="s">
        <v>43</v>
      </c>
      <c r="B112">
        <v>-18.615475353525699</v>
      </c>
      <c r="D112" t="s">
        <v>159</v>
      </c>
      <c r="E112">
        <v>-109.42194607750864</v>
      </c>
      <c r="G112" t="s">
        <v>159</v>
      </c>
      <c r="H112">
        <v>-138.56674705308097</v>
      </c>
      <c r="J112" t="s">
        <v>159</v>
      </c>
      <c r="K112">
        <v>0.45235801508880458</v>
      </c>
      <c r="M112" t="s">
        <v>159</v>
      </c>
      <c r="N112">
        <v>-15.742645783685042</v>
      </c>
      <c r="P112" t="s">
        <v>159</v>
      </c>
      <c r="Q112">
        <v>11.303204977289402</v>
      </c>
    </row>
    <row r="113" spans="1:17">
      <c r="A113" t="s">
        <v>210</v>
      </c>
      <c r="B113">
        <v>-19.445669463444524</v>
      </c>
      <c r="D113" t="s">
        <v>123</v>
      </c>
      <c r="E113">
        <v>-111.34362901134625</v>
      </c>
      <c r="G113" t="s">
        <v>123</v>
      </c>
      <c r="H113">
        <v>-140.06226259436434</v>
      </c>
      <c r="J113" t="s">
        <v>123</v>
      </c>
      <c r="K113">
        <v>-3.49537570346794</v>
      </c>
      <c r="M113" t="s">
        <v>123</v>
      </c>
      <c r="N113">
        <v>-16.678023439105853</v>
      </c>
      <c r="P113" t="s">
        <v>123</v>
      </c>
      <c r="Q113">
        <v>10.216713663906919</v>
      </c>
    </row>
    <row r="114" spans="1:17">
      <c r="A114" t="s">
        <v>79</v>
      </c>
      <c r="B114">
        <v>-21.717908787928781</v>
      </c>
      <c r="D114" t="s">
        <v>125</v>
      </c>
      <c r="E114">
        <v>-111.90057718922864</v>
      </c>
      <c r="G114" t="s">
        <v>125</v>
      </c>
      <c r="H114">
        <v>-151.24361967620428</v>
      </c>
      <c r="J114" t="s">
        <v>125</v>
      </c>
      <c r="K114">
        <v>-9.352423727607297</v>
      </c>
      <c r="M114" t="s">
        <v>125</v>
      </c>
      <c r="N114">
        <v>-16.787898427570102</v>
      </c>
      <c r="P114" t="s">
        <v>125</v>
      </c>
      <c r="Q114">
        <v>8.9956902600435491</v>
      </c>
    </row>
    <row r="115" spans="1:17">
      <c r="A115" t="s">
        <v>65</v>
      </c>
      <c r="B115">
        <v>-22.642287683316908</v>
      </c>
      <c r="D115" t="s">
        <v>126</v>
      </c>
      <c r="E115">
        <v>-116.01309119420766</v>
      </c>
      <c r="G115" t="s">
        <v>126</v>
      </c>
      <c r="H115">
        <v>-154.23731490819009</v>
      </c>
      <c r="J115" t="s">
        <v>126</v>
      </c>
      <c r="K115">
        <v>-14.740266774665606</v>
      </c>
      <c r="M115" t="s">
        <v>126</v>
      </c>
      <c r="N115">
        <v>-18.278086189114159</v>
      </c>
      <c r="P115" t="s">
        <v>126</v>
      </c>
      <c r="Q115">
        <v>-3.2080125526084022</v>
      </c>
    </row>
    <row r="116" spans="1:17">
      <c r="A116" t="s">
        <v>150</v>
      </c>
      <c r="B116">
        <v>-26.289275880980625</v>
      </c>
      <c r="D116" t="s">
        <v>127</v>
      </c>
      <c r="E116">
        <v>-120.37831958337406</v>
      </c>
      <c r="G116" t="s">
        <v>127</v>
      </c>
      <c r="H116">
        <v>-190.48035920685481</v>
      </c>
      <c r="J116" t="s">
        <v>127</v>
      </c>
      <c r="K116">
        <v>-19.466556892198913</v>
      </c>
      <c r="M116" t="s">
        <v>127</v>
      </c>
      <c r="N116">
        <v>-21.342716367122431</v>
      </c>
      <c r="P116" t="s">
        <v>127</v>
      </c>
      <c r="Q116">
        <v>-3.8604169602880689</v>
      </c>
    </row>
    <row r="117" spans="1:17">
      <c r="A117" t="s">
        <v>103</v>
      </c>
      <c r="B117">
        <v>-26.871101901430478</v>
      </c>
      <c r="D117" t="s">
        <v>128</v>
      </c>
      <c r="E117">
        <v>-126.68986910596603</v>
      </c>
      <c r="G117" t="s">
        <v>128</v>
      </c>
      <c r="H117">
        <v>-234.63941934375637</v>
      </c>
      <c r="J117" t="s">
        <v>128</v>
      </c>
      <c r="K117">
        <v>-20.152751179103682</v>
      </c>
      <c r="M117" t="s">
        <v>128</v>
      </c>
      <c r="N117">
        <v>-22.365438489958574</v>
      </c>
      <c r="P117" t="s">
        <v>128</v>
      </c>
      <c r="Q117">
        <v>-4.0240621671479015</v>
      </c>
    </row>
    <row r="118" spans="1:17">
      <c r="A118" t="s">
        <v>100</v>
      </c>
      <c r="B118">
        <v>-29.205463805299555</v>
      </c>
      <c r="D118" t="s">
        <v>129</v>
      </c>
      <c r="E118">
        <v>-149.40812005850904</v>
      </c>
      <c r="G118" t="s">
        <v>129</v>
      </c>
      <c r="H118">
        <v>-252.85009204659951</v>
      </c>
      <c r="J118" t="s">
        <v>129</v>
      </c>
      <c r="K118">
        <v>-39.488213033846321</v>
      </c>
      <c r="M118" t="s">
        <v>129</v>
      </c>
      <c r="N118">
        <v>-22.423485924007934</v>
      </c>
      <c r="P118" t="s">
        <v>129</v>
      </c>
      <c r="Q118">
        <v>-12.760694375809273</v>
      </c>
    </row>
    <row r="119" spans="1:17">
      <c r="A119" t="s">
        <v>60</v>
      </c>
      <c r="B119">
        <v>-37.637700650207208</v>
      </c>
      <c r="D119" t="s">
        <v>130</v>
      </c>
      <c r="E119">
        <v>-177.27746922498201</v>
      </c>
      <c r="G119" t="s">
        <v>130</v>
      </c>
      <c r="H119">
        <v>-267.79628005520038</v>
      </c>
      <c r="J119" t="s">
        <v>130</v>
      </c>
      <c r="K119">
        <v>-60.157454025882991</v>
      </c>
      <c r="M119" t="s">
        <v>130</v>
      </c>
      <c r="N119">
        <v>-23.312117385480558</v>
      </c>
      <c r="P119" t="s">
        <v>130</v>
      </c>
      <c r="Q119">
        <v>-19.862119722558063</v>
      </c>
    </row>
    <row r="120" spans="1:17">
      <c r="A120" t="s">
        <v>115</v>
      </c>
      <c r="B120">
        <v>-54.622657796089037</v>
      </c>
      <c r="D120" t="s">
        <v>131</v>
      </c>
      <c r="E120">
        <v>-186.09573979711149</v>
      </c>
      <c r="G120" t="s">
        <v>131</v>
      </c>
      <c r="H120">
        <v>-299.60289447674421</v>
      </c>
      <c r="J120" t="s">
        <v>131</v>
      </c>
      <c r="K120">
        <v>-69.805530015909412</v>
      </c>
      <c r="M120" t="s">
        <v>131</v>
      </c>
      <c r="N120">
        <v>-44.110314013368225</v>
      </c>
      <c r="P120" t="s">
        <v>131</v>
      </c>
      <c r="Q120">
        <v>-30.037449731423102</v>
      </c>
    </row>
    <row r="121" spans="1:17">
      <c r="A121" t="s">
        <v>69</v>
      </c>
      <c r="B121">
        <v>-106.03936685298291</v>
      </c>
      <c r="D121" t="s">
        <v>132</v>
      </c>
      <c r="E121">
        <v>-193.99785234383631</v>
      </c>
      <c r="G121" t="s">
        <v>132</v>
      </c>
      <c r="H121">
        <v>-327.04845756606403</v>
      </c>
      <c r="J121" t="s">
        <v>132</v>
      </c>
      <c r="K121">
        <v>-103.56673136633306</v>
      </c>
      <c r="M121" t="s">
        <v>132</v>
      </c>
      <c r="N121">
        <v>-73.444165415636093</v>
      </c>
      <c r="P121" t="s">
        <v>132</v>
      </c>
      <c r="Q121">
        <v>-36.832746362945997</v>
      </c>
    </row>
    <row r="122" spans="1:17">
      <c r="A122" t="s">
        <v>157</v>
      </c>
      <c r="B122">
        <v>-119.41467144805132</v>
      </c>
      <c r="D122" t="s">
        <v>133</v>
      </c>
      <c r="E122">
        <v>-204.72301140178467</v>
      </c>
      <c r="G122" t="s">
        <v>133</v>
      </c>
      <c r="H122">
        <v>-411.25163459073951</v>
      </c>
      <c r="J122" t="s">
        <v>133</v>
      </c>
      <c r="K122">
        <v>-119.67044158726966</v>
      </c>
      <c r="M122" t="s">
        <v>133</v>
      </c>
      <c r="N122">
        <v>-91.061981818370782</v>
      </c>
      <c r="P122" t="s">
        <v>133</v>
      </c>
      <c r="Q122">
        <v>-100.28122975006208</v>
      </c>
    </row>
    <row r="123" spans="1:17">
      <c r="A123" t="s">
        <v>152</v>
      </c>
      <c r="B123">
        <v>-173.2611387947606</v>
      </c>
      <c r="D123" t="s">
        <v>134</v>
      </c>
      <c r="E123">
        <v>-226.24192514559164</v>
      </c>
      <c r="G123" t="s">
        <v>134</v>
      </c>
      <c r="H123">
        <v>-481.69345279343338</v>
      </c>
      <c r="J123" t="s">
        <v>134</v>
      </c>
      <c r="K123">
        <v>-174.5151418451546</v>
      </c>
      <c r="M123" t="s">
        <v>134</v>
      </c>
      <c r="N123">
        <v>-118.48132944415146</v>
      </c>
      <c r="P123" t="s">
        <v>134</v>
      </c>
      <c r="Q123">
        <v>-155.73025257497744</v>
      </c>
    </row>
    <row r="125" spans="1:17">
      <c r="A125" t="s">
        <v>239</v>
      </c>
    </row>
  </sheetData>
  <sortState xmlns:xlrd2="http://schemas.microsoft.com/office/spreadsheetml/2017/richdata2" ref="A4:B123">
    <sortCondition descending="1" ref="B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1556-400E-4C3D-A126-67ED42E15FD1}">
  <dimension ref="A1:G123"/>
  <sheetViews>
    <sheetView workbookViewId="0">
      <selection activeCell="B4" sqref="A4:B123"/>
    </sheetView>
  </sheetViews>
  <sheetFormatPr baseColWidth="10" defaultRowHeight="14.5"/>
  <cols>
    <col min="1" max="1" width="38" bestFit="1" customWidth="1"/>
  </cols>
  <sheetData>
    <row r="1" spans="1:7" ht="43.5" customHeight="1">
      <c r="A1" s="11" t="s">
        <v>230</v>
      </c>
    </row>
    <row r="3" spans="1:7">
      <c r="A3" s="40" t="s">
        <v>237</v>
      </c>
      <c r="B3" s="40" t="s">
        <v>231</v>
      </c>
      <c r="C3" s="40" t="s">
        <v>232</v>
      </c>
      <c r="D3" s="40" t="s">
        <v>233</v>
      </c>
      <c r="E3" s="40" t="s">
        <v>234</v>
      </c>
      <c r="F3" s="40" t="s">
        <v>235</v>
      </c>
      <c r="G3" s="40" t="s">
        <v>236</v>
      </c>
    </row>
    <row r="4" spans="1:7">
      <c r="A4" s="16" t="s">
        <v>41</v>
      </c>
      <c r="B4" cm="1">
        <f t="array" ref="B4">MMULT('Base de Datos'!D3:AB3,PCA!$B$4:$B$28)</f>
        <v>-4.5986738742160123</v>
      </c>
      <c r="C4" cm="1">
        <f t="array" ref="C4">MMULT('Base de Datos'!D3:AB3,PCA!$C$4:$C$28)</f>
        <v>3.2024936551182313</v>
      </c>
      <c r="D4" cm="1">
        <f t="array" ref="D4">MMULT('Base de Datos'!D3:AB3,PCA!$D$4:$D$28)</f>
        <v>-11.622530306156634</v>
      </c>
      <c r="E4" cm="1">
        <f t="array" ref="E4">MMULT('Base de Datos'!D3:AB3,PCA!$E$4:$E$28)</f>
        <v>-0.31415094233283364</v>
      </c>
      <c r="F4" cm="1">
        <f t="array" ref="F4">MMULT('Base de Datos'!D3:AB3,PCA!$F$4:$F$28)</f>
        <v>-0.78280948186465893</v>
      </c>
      <c r="G4" cm="1">
        <f t="array" ref="G4">MMULT('Base de Datos'!D3:AB3,PCA!$G$4:$G$28)</f>
        <v>-2.5463840592877447</v>
      </c>
    </row>
    <row r="5" spans="1:7">
      <c r="A5" s="17" t="s">
        <v>42</v>
      </c>
      <c r="B5" cm="1">
        <f t="array" ref="B5">MMULT('Base de Datos'!D4:AB4,PCA!$B$4:$B$28)</f>
        <v>-13.146174606687403</v>
      </c>
      <c r="C5" cm="1">
        <f t="array" ref="C5">MMULT('Base de Datos'!D4:AB4,PCA!$C$4:$C$28)</f>
        <v>7.4156651822094766</v>
      </c>
      <c r="D5" cm="1">
        <f t="array" ref="D5">MMULT('Base de Datos'!D4:AB4,PCA!$D$4:$D$28)</f>
        <v>-24.350294542961656</v>
      </c>
      <c r="E5" cm="1">
        <f t="array" ref="E5">MMULT('Base de Datos'!D4:AB4,PCA!$E$4:$E$28)</f>
        <v>6.9193236427774591</v>
      </c>
      <c r="F5" cm="1">
        <f t="array" ref="F5">MMULT('Base de Datos'!D4:AB4,PCA!$F$4:$F$28)</f>
        <v>-3.3403548597480617</v>
      </c>
      <c r="G5" cm="1">
        <f t="array" ref="G5">MMULT('Base de Datos'!D4:AB4,PCA!$G$4:$G$28)</f>
        <v>-8.0140714521703913</v>
      </c>
    </row>
    <row r="6" spans="1:7">
      <c r="A6" s="17" t="s">
        <v>43</v>
      </c>
      <c r="B6" cm="1">
        <f t="array" ref="B6">MMULT('Base de Datos'!D5:AB5,PCA!$B$4:$B$28)</f>
        <v>-18.615475353525699</v>
      </c>
      <c r="C6" cm="1">
        <f t="array" ref="C6">MMULT('Base de Datos'!D5:AB5,PCA!$C$4:$C$28)</f>
        <v>13.782167827102096</v>
      </c>
      <c r="D6" cm="1">
        <f t="array" ref="D6">MMULT('Base de Datos'!D5:AB5,PCA!$D$4:$D$28)</f>
        <v>-47.034061220145702</v>
      </c>
      <c r="E6" cm="1">
        <f t="array" ref="E6">MMULT('Base de Datos'!D5:AB5,PCA!$E$4:$E$28)</f>
        <v>-1.4033615230977807</v>
      </c>
      <c r="F6" cm="1">
        <f t="array" ref="F6">MMULT('Base de Datos'!D5:AB5,PCA!$F$4:$F$28)</f>
        <v>-9.5206374433209042</v>
      </c>
      <c r="G6" cm="1">
        <f t="array" ref="G6">MMULT('Base de Datos'!D5:AB5,PCA!$G$4:$G$28)</f>
        <v>-10.691332354102146</v>
      </c>
    </row>
    <row r="7" spans="1:7">
      <c r="A7" s="17" t="s">
        <v>44</v>
      </c>
      <c r="B7" cm="1">
        <f t="array" ref="B7">MMULT('Base de Datos'!D6:AB6,PCA!$B$4:$B$28)</f>
        <v>-15.112555169252232</v>
      </c>
      <c r="C7" cm="1">
        <f t="array" ref="C7">MMULT('Base de Datos'!D6:AB6,PCA!$C$4:$C$28)</f>
        <v>8.0551605218348481</v>
      </c>
      <c r="D7" cm="1">
        <f t="array" ref="D7">MMULT('Base de Datos'!D6:AB6,PCA!$D$4:$D$28)</f>
        <v>-25.151793280885379</v>
      </c>
      <c r="E7" cm="1">
        <f t="array" ref="E7">MMULT('Base de Datos'!D6:AB6,PCA!$E$4:$E$28)</f>
        <v>9.6409845128385712</v>
      </c>
      <c r="F7" cm="1">
        <f t="array" ref="F7">MMULT('Base de Datos'!D6:AB6,PCA!$F$4:$F$28)</f>
        <v>-3.0448408601555514</v>
      </c>
      <c r="G7" cm="1">
        <f t="array" ref="G7">MMULT('Base de Datos'!D6:AB6,PCA!$G$4:$G$28)</f>
        <v>-9.5199015932872069</v>
      </c>
    </row>
    <row r="8" spans="1:7">
      <c r="A8" s="17" t="s">
        <v>45</v>
      </c>
      <c r="B8" cm="1">
        <f t="array" ref="B8">MMULT('Base de Datos'!D7:AB7,PCA!$B$4:$B$28)</f>
        <v>-1.3752833919760259</v>
      </c>
      <c r="C8" cm="1">
        <f t="array" ref="C8">MMULT('Base de Datos'!D7:AB7,PCA!$C$4:$C$28)</f>
        <v>0.718612803054823</v>
      </c>
      <c r="D8" cm="1">
        <f t="array" ref="D8">MMULT('Base de Datos'!D7:AB7,PCA!$D$4:$D$28)</f>
        <v>-1.4242234890130485</v>
      </c>
      <c r="E8" cm="1">
        <f t="array" ref="E8">MMULT('Base de Datos'!D7:AB7,PCA!$E$4:$E$28)</f>
        <v>2.643815622735028</v>
      </c>
      <c r="F8" cm="1">
        <f t="array" ref="F8">MMULT('Base de Datos'!D7:AB7,PCA!$F$4:$F$28)</f>
        <v>1.082929949883449</v>
      </c>
      <c r="G8" cm="1">
        <f t="array" ref="G8">MMULT('Base de Datos'!D7:AB7,PCA!$G$4:$G$28)</f>
        <v>-0.84547880808733467</v>
      </c>
    </row>
    <row r="9" spans="1:7">
      <c r="A9" s="17" t="s">
        <v>46</v>
      </c>
      <c r="B9" cm="1">
        <f t="array" ref="B9">MMULT('Base de Datos'!D8:AB8,PCA!$B$4:$B$28)</f>
        <v>-13.812566363475762</v>
      </c>
      <c r="C9" cm="1">
        <f t="array" ref="C9">MMULT('Base de Datos'!D8:AB8,PCA!$C$4:$C$28)</f>
        <v>8.8585339035271939</v>
      </c>
      <c r="D9" cm="1">
        <f t="array" ref="D9">MMULT('Base de Datos'!D8:AB8,PCA!$D$4:$D$28)</f>
        <v>-32.831167921672431</v>
      </c>
      <c r="E9" cm="1">
        <f t="array" ref="E9">MMULT('Base de Datos'!D8:AB8,PCA!$E$4:$E$28)</f>
        <v>-1.3137240434588242E-2</v>
      </c>
      <c r="F9" cm="1">
        <f t="array" ref="F9">MMULT('Base de Datos'!D8:AB8,PCA!$F$4:$F$28)</f>
        <v>-5.9838427662481859</v>
      </c>
      <c r="G9" cm="1">
        <f t="array" ref="G9">MMULT('Base de Datos'!D8:AB8,PCA!$G$4:$G$28)</f>
        <v>-8.2776149591514407</v>
      </c>
    </row>
    <row r="10" spans="1:7">
      <c r="A10" s="17" t="s">
        <v>47</v>
      </c>
      <c r="B10" cm="1">
        <f t="array" ref="B10">MMULT('Base de Datos'!D9:AB9,PCA!$B$4:$B$28)</f>
        <v>-6.9595034020378286</v>
      </c>
      <c r="C10" cm="1">
        <f t="array" ref="C10">MMULT('Base de Datos'!D9:AB9,PCA!$C$4:$C$28)</f>
        <v>3.2398271297441972</v>
      </c>
      <c r="D10" cm="1">
        <f t="array" ref="D10">MMULT('Base de Datos'!D9:AB9,PCA!$D$4:$D$28)</f>
        <v>-12.564191832804783</v>
      </c>
      <c r="E10" cm="1">
        <f t="array" ref="E10">MMULT('Base de Datos'!D9:AB9,PCA!$E$4:$E$28)</f>
        <v>2.4110126454892105</v>
      </c>
      <c r="F10" cm="1">
        <f t="array" ref="F10">MMULT('Base de Datos'!D9:AB9,PCA!$F$4:$F$28)</f>
        <v>-0.9712598085324079</v>
      </c>
      <c r="G10" cm="1">
        <f t="array" ref="G10">MMULT('Base de Datos'!D9:AB9,PCA!$G$4:$G$28)</f>
        <v>-4.520367293839934</v>
      </c>
    </row>
    <row r="11" spans="1:7">
      <c r="A11" s="17" t="s">
        <v>48</v>
      </c>
      <c r="B11" cm="1">
        <f t="array" ref="B11">MMULT('Base de Datos'!D10:AB10,PCA!$B$4:$B$28)</f>
        <v>-7.6002971449310666</v>
      </c>
      <c r="C11" cm="1">
        <f t="array" ref="C11">MMULT('Base de Datos'!D10:AB10,PCA!$C$4:$C$28)</f>
        <v>4.3778969354112087</v>
      </c>
      <c r="D11" cm="1">
        <f t="array" ref="D11">MMULT('Base de Datos'!D10:AB10,PCA!$D$4:$D$28)</f>
        <v>-16.565418256773082</v>
      </c>
      <c r="E11" cm="1">
        <f t="array" ref="E11">MMULT('Base de Datos'!D10:AB10,PCA!$E$4:$E$28)</f>
        <v>2.7934715247705717</v>
      </c>
      <c r="F11" cm="1">
        <f t="array" ref="F11">MMULT('Base de Datos'!D10:AB10,PCA!$F$4:$F$28)</f>
        <v>-2.0691363149196347</v>
      </c>
      <c r="G11" cm="1">
        <f t="array" ref="G11">MMULT('Base de Datos'!D10:AB10,PCA!$G$4:$G$28)</f>
        <v>-3.9231154318043351</v>
      </c>
    </row>
    <row r="12" spans="1:7">
      <c r="A12" s="17" t="s">
        <v>49</v>
      </c>
      <c r="B12" cm="1">
        <f t="array" ref="B12">MMULT('Base de Datos'!D11:AB11,PCA!$B$4:$B$28)</f>
        <v>1.9321153355984204</v>
      </c>
      <c r="C12" cm="1">
        <f t="array" ref="C12">MMULT('Base de Datos'!D11:AB11,PCA!$C$4:$C$28)</f>
        <v>-1.1502481271674654</v>
      </c>
      <c r="D12" cm="1">
        <f t="array" ref="D12">MMULT('Base de Datos'!D11:AB11,PCA!$D$4:$D$28)</f>
        <v>4.7947050883023588</v>
      </c>
      <c r="E12" cm="1">
        <f t="array" ref="E12">MMULT('Base de Datos'!D11:AB11,PCA!$E$4:$E$28)</f>
        <v>0.83455472670716657</v>
      </c>
      <c r="F12" cm="1">
        <f t="array" ref="F12">MMULT('Base de Datos'!D11:AB11,PCA!$F$4:$F$28)</f>
        <v>2.9496819069691398</v>
      </c>
      <c r="G12" cm="1">
        <f t="array" ref="G12">MMULT('Base de Datos'!D11:AB11,PCA!$G$4:$G$28)</f>
        <v>1.3661399853792537</v>
      </c>
    </row>
    <row r="13" spans="1:7">
      <c r="A13" s="18" t="s">
        <v>50</v>
      </c>
      <c r="B13" cm="1">
        <f t="array" ref="B13">MMULT('Base de Datos'!D12:AB12,PCA!$B$4:$B$28)</f>
        <v>-7.0723651447771045</v>
      </c>
      <c r="C13" cm="1">
        <f t="array" ref="C13">MMULT('Base de Datos'!D12:AB12,PCA!$C$4:$C$28)</f>
        <v>3.8090319251357423</v>
      </c>
      <c r="D13" cm="1">
        <f t="array" ref="D13">MMULT('Base de Datos'!D12:AB12,PCA!$D$4:$D$28)</f>
        <v>-13.221478824487921</v>
      </c>
      <c r="E13" cm="1">
        <f t="array" ref="E13">MMULT('Base de Datos'!D12:AB12,PCA!$E$4:$E$28)</f>
        <v>3.2418663605749023</v>
      </c>
      <c r="F13" cm="1">
        <f t="array" ref="F13">MMULT('Base de Datos'!D12:AB12,PCA!$F$4:$F$28)</f>
        <v>-1.2124764225923803</v>
      </c>
      <c r="G13" cm="1">
        <f t="array" ref="G13">MMULT('Base de Datos'!D12:AB12,PCA!$G$4:$G$28)</f>
        <v>-4.0480494353812437</v>
      </c>
    </row>
    <row r="14" spans="1:7">
      <c r="A14" s="16" t="s">
        <v>81</v>
      </c>
      <c r="B14" cm="1">
        <f t="array" ref="B14">MMULT('Base de Datos'!D13:AB13,PCA!$B$4:$B$28)</f>
        <v>-0.636915579291779</v>
      </c>
      <c r="C14" cm="1">
        <f t="array" ref="C14">MMULT('Base de Datos'!D13:AB13,PCA!$C$4:$C$28)</f>
        <v>-0.51025591117226743</v>
      </c>
      <c r="D14" cm="1">
        <f t="array" ref="D14">MMULT('Base de Datos'!D13:AB13,PCA!$D$4:$D$28)</f>
        <v>-0.18752988041076707</v>
      </c>
      <c r="E14" cm="1">
        <f t="array" ref="E14">MMULT('Base de Datos'!D13:AB13,PCA!$E$4:$E$28)</f>
        <v>1.7230841546157314</v>
      </c>
      <c r="F14" cm="1">
        <f t="array" ref="F14">MMULT('Base de Datos'!D13:AB13,PCA!$F$4:$F$28)</f>
        <v>1.609256170664509</v>
      </c>
      <c r="G14" cm="1">
        <f t="array" ref="G14">MMULT('Base de Datos'!D13:AB13,PCA!$G$4:$G$28)</f>
        <v>0.27507948277760697</v>
      </c>
    </row>
    <row r="15" spans="1:7">
      <c r="A15" s="17" t="s">
        <v>74</v>
      </c>
      <c r="B15" cm="1">
        <f t="array" ref="B15">MMULT('Base de Datos'!D14:AB14,PCA!$B$4:$B$28)</f>
        <v>-3.0529409869729363</v>
      </c>
      <c r="C15" cm="1">
        <f t="array" ref="C15">MMULT('Base de Datos'!D14:AB14,PCA!$C$4:$C$28)</f>
        <v>1.8874310963337411</v>
      </c>
      <c r="D15" cm="1">
        <f t="array" ref="D15">MMULT('Base de Datos'!D14:AB14,PCA!$D$4:$D$28)</f>
        <v>-7.4339184735297446</v>
      </c>
      <c r="E15" cm="1">
        <f t="array" ref="E15">MMULT('Base de Datos'!D14:AB14,PCA!$E$4:$E$28)</f>
        <v>-0.65410662351906945</v>
      </c>
      <c r="F15" cm="1">
        <f t="array" ref="F15">MMULT('Base de Datos'!D14:AB14,PCA!$F$4:$F$28)</f>
        <v>-7.551629264727075E-2</v>
      </c>
      <c r="G15" cm="1">
        <f t="array" ref="G15">MMULT('Base de Datos'!D14:AB14,PCA!$G$4:$G$28)</f>
        <v>-1.0000356406639064</v>
      </c>
    </row>
    <row r="16" spans="1:7">
      <c r="A16" s="17" t="s">
        <v>137</v>
      </c>
      <c r="B16" cm="1">
        <f t="array" ref="B16">MMULT('Base de Datos'!D15:AB15,PCA!$B$4:$B$28)</f>
        <v>-10.074510189782094</v>
      </c>
      <c r="C16" cm="1">
        <f t="array" ref="C16">MMULT('Base de Datos'!D15:AB15,PCA!$C$4:$C$28)</f>
        <v>5.1420619685053079</v>
      </c>
      <c r="D16" cm="1">
        <f t="array" ref="D16">MMULT('Base de Datos'!D15:AB15,PCA!$D$4:$D$28)</f>
        <v>-20.567323030493565</v>
      </c>
      <c r="E16" cm="1">
        <f t="array" ref="E16">MMULT('Base de Datos'!D15:AB15,PCA!$E$4:$E$28)</f>
        <v>3.0394768659280191</v>
      </c>
      <c r="F16" cm="1">
        <f t="array" ref="F16">MMULT('Base de Datos'!D15:AB15,PCA!$F$4:$F$28)</f>
        <v>-3.5330184762706764</v>
      </c>
      <c r="G16" cm="1">
        <f t="array" ref="G16">MMULT('Base de Datos'!D15:AB15,PCA!$G$4:$G$28)</f>
        <v>-6.3129620599964564</v>
      </c>
    </row>
    <row r="17" spans="1:7">
      <c r="A17" s="17" t="s">
        <v>75</v>
      </c>
      <c r="B17" cm="1">
        <f t="array" ref="B17">MMULT('Base de Datos'!D16:AB16,PCA!$B$4:$B$28)</f>
        <v>-12.837039739531475</v>
      </c>
      <c r="C17" cm="1">
        <f t="array" ref="C17">MMULT('Base de Datos'!D16:AB16,PCA!$C$4:$C$28)</f>
        <v>4.3686442201336675</v>
      </c>
      <c r="D17" cm="1">
        <f t="array" ref="D17">MMULT('Base de Datos'!D16:AB16,PCA!$D$4:$D$28)</f>
        <v>-20.516391800728485</v>
      </c>
      <c r="E17" cm="1">
        <f t="array" ref="E17">MMULT('Base de Datos'!D16:AB16,PCA!$E$4:$E$28)</f>
        <v>7.7386268093178661</v>
      </c>
      <c r="F17" cm="1">
        <f t="array" ref="F17">MMULT('Base de Datos'!D16:AB16,PCA!$F$4:$F$28)</f>
        <v>-2.6869268366518475</v>
      </c>
      <c r="G17" cm="1">
        <f t="array" ref="G17">MMULT('Base de Datos'!D16:AB16,PCA!$G$4:$G$28)</f>
        <v>-9.5886498498887498</v>
      </c>
    </row>
    <row r="18" spans="1:7">
      <c r="A18" s="17" t="s">
        <v>76</v>
      </c>
      <c r="B18" cm="1">
        <f t="array" ref="B18">MMULT('Base de Datos'!D17:AB17,PCA!$B$4:$B$28)</f>
        <v>-10.803550502626466</v>
      </c>
      <c r="C18" cm="1">
        <f t="array" ref="C18">MMULT('Base de Datos'!D17:AB17,PCA!$C$4:$C$28)</f>
        <v>4.410224876914115</v>
      </c>
      <c r="D18" cm="1">
        <f t="array" ref="D18">MMULT('Base de Datos'!D17:AB17,PCA!$D$4:$D$28)</f>
        <v>-19.245690979212824</v>
      </c>
      <c r="E18" cm="1">
        <f t="array" ref="E18">MMULT('Base de Datos'!D17:AB17,PCA!$E$4:$E$28)</f>
        <v>4.8135840672743289</v>
      </c>
      <c r="F18" cm="1">
        <f t="array" ref="F18">MMULT('Base de Datos'!D17:AB17,PCA!$F$4:$F$28)</f>
        <v>-2.799273568561687</v>
      </c>
      <c r="G18" cm="1">
        <f t="array" ref="G18">MMULT('Base de Datos'!D17:AB17,PCA!$G$4:$G$28)</f>
        <v>-6.8631735020309588</v>
      </c>
    </row>
    <row r="19" spans="1:7">
      <c r="A19" s="17" t="s">
        <v>77</v>
      </c>
      <c r="B19" cm="1">
        <f t="array" ref="B19">MMULT('Base de Datos'!D18:AB18,PCA!$B$4:$B$28)</f>
        <v>-8.9583569017766678</v>
      </c>
      <c r="C19" cm="1">
        <f t="array" ref="C19">MMULT('Base de Datos'!D18:AB18,PCA!$C$4:$C$28)</f>
        <v>2.9536288622020956</v>
      </c>
      <c r="D19" cm="1">
        <f t="array" ref="D19">MMULT('Base de Datos'!D18:AB18,PCA!$D$4:$D$28)</f>
        <v>-17.690329123863535</v>
      </c>
      <c r="E19" cm="1">
        <f t="array" ref="E19">MMULT('Base de Datos'!D18:AB18,PCA!$E$4:$E$28)</f>
        <v>0.60237077920930659</v>
      </c>
      <c r="F19" cm="1">
        <f t="array" ref="F19">MMULT('Base de Datos'!D18:AB18,PCA!$F$4:$F$28)</f>
        <v>-2.5746700860683216</v>
      </c>
      <c r="G19" cm="1">
        <f t="array" ref="G19">MMULT('Base de Datos'!D18:AB18,PCA!$G$4:$G$28)</f>
        <v>-6.3820594269169915</v>
      </c>
    </row>
    <row r="20" spans="1:7">
      <c r="A20" s="17" t="s">
        <v>78</v>
      </c>
      <c r="B20" cm="1">
        <f t="array" ref="B20">MMULT('Base de Datos'!D19:AB19,PCA!$B$4:$B$28)</f>
        <v>-4.3815730440428533</v>
      </c>
      <c r="C20" cm="1">
        <f t="array" ref="C20">MMULT('Base de Datos'!D19:AB19,PCA!$C$4:$C$28)</f>
        <v>1.6017960590115146</v>
      </c>
      <c r="D20" cm="1">
        <f t="array" ref="D20">MMULT('Base de Datos'!D19:AB19,PCA!$D$4:$D$28)</f>
        <v>-9.3518829678941078</v>
      </c>
      <c r="E20" cm="1">
        <f t="array" ref="E20">MMULT('Base de Datos'!D19:AB19,PCA!$E$4:$E$28)</f>
        <v>-1.1881136625429227</v>
      </c>
      <c r="F20" cm="1">
        <f t="array" ref="F20">MMULT('Base de Datos'!D19:AB19,PCA!$F$4:$F$28)</f>
        <v>-1.1797092977703942</v>
      </c>
      <c r="G20" cm="1">
        <f t="array" ref="G20">MMULT('Base de Datos'!D19:AB19,PCA!$G$4:$G$28)</f>
        <v>-2.0642111206728995</v>
      </c>
    </row>
    <row r="21" spans="1:7">
      <c r="A21" s="17" t="s">
        <v>138</v>
      </c>
      <c r="B21" cm="1">
        <f t="array" ref="B21">MMULT('Base de Datos'!D20:AB20,PCA!$B$4:$B$28)</f>
        <v>-1.2010695613758013</v>
      </c>
      <c r="C21" cm="1">
        <f t="array" ref="C21">MMULT('Base de Datos'!D20:AB20,PCA!$C$4:$C$28)</f>
        <v>-4.3015788720399684</v>
      </c>
      <c r="D21" cm="1">
        <f t="array" ref="D21">MMULT('Base de Datos'!D20:AB20,PCA!$D$4:$D$28)</f>
        <v>9.7961259822107554</v>
      </c>
      <c r="E21" cm="1">
        <f t="array" ref="E21">MMULT('Base de Datos'!D20:AB20,PCA!$E$4:$E$28)</f>
        <v>8.8605722846119246</v>
      </c>
      <c r="F21" cm="1">
        <f t="array" ref="F21">MMULT('Base de Datos'!D20:AB20,PCA!$F$4:$F$28)</f>
        <v>4.4128949605014149</v>
      </c>
      <c r="G21" cm="1">
        <f t="array" ref="G21">MMULT('Base de Datos'!D20:AB20,PCA!$G$4:$G$28)</f>
        <v>-2.6766651597542728</v>
      </c>
    </row>
    <row r="22" spans="1:7">
      <c r="A22" s="17" t="s">
        <v>79</v>
      </c>
      <c r="B22" cm="1">
        <f t="array" ref="B22">MMULT('Base de Datos'!D21:AB21,PCA!$B$4:$B$28)</f>
        <v>-21.717908787928781</v>
      </c>
      <c r="C22" cm="1">
        <f t="array" ref="C22">MMULT('Base de Datos'!D21:AB21,PCA!$C$4:$C$28)</f>
        <v>-13.605985196800724</v>
      </c>
      <c r="D22" cm="1">
        <f t="array" ref="D22">MMULT('Base de Datos'!D21:AB21,PCA!$D$4:$D$28)</f>
        <v>-26.906088662612344</v>
      </c>
      <c r="E22" cm="1">
        <f t="array" ref="E22">MMULT('Base de Datos'!D21:AB21,PCA!$E$4:$E$28)</f>
        <v>-28.895592166142219</v>
      </c>
      <c r="F22" cm="1">
        <f t="array" ref="F22">MMULT('Base de Datos'!D21:AB21,PCA!$F$4:$F$28)</f>
        <v>-6.5650571661336956</v>
      </c>
      <c r="G22" cm="1">
        <f t="array" ref="G22">MMULT('Base de Datos'!D21:AB21,PCA!$G$4:$G$28)</f>
        <v>-28.032424413472558</v>
      </c>
    </row>
    <row r="23" spans="1:7">
      <c r="A23" s="18" t="s">
        <v>80</v>
      </c>
      <c r="B23" cm="1">
        <f t="array" ref="B23">MMULT('Base de Datos'!D22:AB22,PCA!$B$4:$B$28)</f>
        <v>-10.334115849156134</v>
      </c>
      <c r="C23" cm="1">
        <f t="array" ref="C23">MMULT('Base de Datos'!D22:AB22,PCA!$C$4:$C$28)</f>
        <v>1.6823894583035928</v>
      </c>
      <c r="D23" cm="1">
        <f t="array" ref="D23">MMULT('Base de Datos'!D22:AB22,PCA!$D$4:$D$28)</f>
        <v>-17.483606692308218</v>
      </c>
      <c r="E23" cm="1">
        <f t="array" ref="E23">MMULT('Base de Datos'!D22:AB22,PCA!$E$4:$E$28)</f>
        <v>-0.4282553552887155</v>
      </c>
      <c r="F23" cm="1">
        <f t="array" ref="F23">MMULT('Base de Datos'!D22:AB22,PCA!$F$4:$F$28)</f>
        <v>-2.2898903374659452</v>
      </c>
      <c r="G23" cm="1">
        <f t="array" ref="G23">MMULT('Base de Datos'!D22:AB22,PCA!$G$4:$G$28)</f>
        <v>-7.4458477622930257</v>
      </c>
    </row>
    <row r="24" spans="1:7">
      <c r="A24" s="2" t="s">
        <v>148</v>
      </c>
      <c r="B24" cm="1">
        <f t="array" ref="B24">MMULT('Base de Datos'!D23:AB23,PCA!$B$4:$B$28)</f>
        <v>-4.5700538068774978</v>
      </c>
      <c r="C24" cm="1">
        <f t="array" ref="C24">MMULT('Base de Datos'!D23:AB23,PCA!$C$4:$C$28)</f>
        <v>2.3621084650619011</v>
      </c>
      <c r="D24" cm="1">
        <f t="array" ref="D24">MMULT('Base de Datos'!D23:AB23,PCA!$D$4:$D$28)</f>
        <v>-9.1208350283833823</v>
      </c>
      <c r="E24" cm="1">
        <f t="array" ref="E24">MMULT('Base de Datos'!D23:AB23,PCA!$E$4:$E$28)</f>
        <v>3.1565233543303504</v>
      </c>
      <c r="F24" cm="1">
        <f t="array" ref="F24">MMULT('Base de Datos'!D23:AB23,PCA!$F$4:$F$28)</f>
        <v>-0.38623873501850819</v>
      </c>
      <c r="G24" cm="1">
        <f t="array" ref="G24">MMULT('Base de Datos'!D23:AB23,PCA!$G$4:$G$28)</f>
        <v>-3.2737913144613646</v>
      </c>
    </row>
    <row r="25" spans="1:7">
      <c r="A25" t="s">
        <v>52</v>
      </c>
      <c r="B25" cm="1">
        <f t="array" ref="B25">MMULT('Base de Datos'!D24:AB24,PCA!$B$4:$B$28)</f>
        <v>-10.332481216305657</v>
      </c>
      <c r="C25" cm="1">
        <f t="array" ref="C25">MMULT('Base de Datos'!D24:AB24,PCA!$C$4:$C$28)</f>
        <v>5.0837273680239639</v>
      </c>
      <c r="D25" cm="1">
        <f t="array" ref="D25">MMULT('Base de Datos'!D24:AB24,PCA!$D$4:$D$28)</f>
        <v>-21.771855974359777</v>
      </c>
      <c r="E25" cm="1">
        <f t="array" ref="E25">MMULT('Base de Datos'!D24:AB24,PCA!$E$4:$E$28)</f>
        <v>2.3115100140952487</v>
      </c>
      <c r="F25" cm="1">
        <f t="array" ref="F25">MMULT('Base de Datos'!D24:AB24,PCA!$F$4:$F$28)</f>
        <v>-3.5832271077295266</v>
      </c>
      <c r="G25" cm="1">
        <f t="array" ref="G25">MMULT('Base de Datos'!D24:AB24,PCA!$G$4:$G$28)</f>
        <v>-6.6359341869539801</v>
      </c>
    </row>
    <row r="26" spans="1:7">
      <c r="A26" t="s">
        <v>53</v>
      </c>
      <c r="B26" cm="1">
        <f t="array" ref="B26">MMULT('Base de Datos'!D25:AB25,PCA!$B$4:$B$28)</f>
        <v>-4.8627663599595063</v>
      </c>
      <c r="C26" cm="1">
        <f t="array" ref="C26">MMULT('Base de Datos'!D25:AB25,PCA!$C$4:$C$28)</f>
        <v>1.125901843098974</v>
      </c>
      <c r="D26" cm="1">
        <f t="array" ref="D26">MMULT('Base de Datos'!D25:AB25,PCA!$D$4:$D$28)</f>
        <v>-7.3629598075798528</v>
      </c>
      <c r="E26" cm="1">
        <f t="array" ref="E26">MMULT('Base de Datos'!D25:AB25,PCA!$E$4:$E$28)</f>
        <v>4.3894557837155528</v>
      </c>
      <c r="F26" cm="1">
        <f t="array" ref="F26">MMULT('Base de Datos'!D25:AB25,PCA!$F$4:$F$28)</f>
        <v>-0.14041866668667188</v>
      </c>
      <c r="G26" cm="1">
        <f t="array" ref="G26">MMULT('Base de Datos'!D25:AB25,PCA!$G$4:$G$28)</f>
        <v>-3.5468418024002677</v>
      </c>
    </row>
    <row r="27" spans="1:7">
      <c r="A27" t="s">
        <v>149</v>
      </c>
      <c r="B27" cm="1">
        <f t="array" ref="B27">MMULT('Base de Datos'!D26:AB26,PCA!$B$4:$B$28)</f>
        <v>-0.40141758917079684</v>
      </c>
      <c r="C27" cm="1">
        <f t="array" ref="C27">MMULT('Base de Datos'!D26:AB26,PCA!$C$4:$C$28)</f>
        <v>1.2593510833404991</v>
      </c>
      <c r="D27" cm="1">
        <f t="array" ref="D27">MMULT('Base de Datos'!D26:AB26,PCA!$D$4:$D$28)</f>
        <v>-2.7528441914949671</v>
      </c>
      <c r="E27" cm="1">
        <f t="array" ref="E27">MMULT('Base de Datos'!D26:AB26,PCA!$E$4:$E$28)</f>
        <v>0.19368966140433025</v>
      </c>
      <c r="F27" cm="1">
        <f t="array" ref="F27">MMULT('Base de Datos'!D26:AB26,PCA!$F$4:$F$28)</f>
        <v>1.3035602184750574</v>
      </c>
      <c r="G27" cm="1">
        <f t="array" ref="G27">MMULT('Base de Datos'!D26:AB26,PCA!$G$4:$G$28)</f>
        <v>-0.50617936716139644</v>
      </c>
    </row>
    <row r="28" spans="1:7">
      <c r="A28" t="s">
        <v>51</v>
      </c>
      <c r="B28" cm="1">
        <f t="array" ref="B28">MMULT('Base de Datos'!D27:AB27,PCA!$B$4:$B$28)</f>
        <v>-8.5655763124226532</v>
      </c>
      <c r="C28" cm="1">
        <f t="array" ref="C28">MMULT('Base de Datos'!D27:AB27,PCA!$C$4:$C$28)</f>
        <v>4.2207130692318211</v>
      </c>
      <c r="D28" cm="1">
        <f t="array" ref="D28">MMULT('Base de Datos'!D27:AB27,PCA!$D$4:$D$28)</f>
        <v>-17.944464721242557</v>
      </c>
      <c r="E28" cm="1">
        <f t="array" ref="E28">MMULT('Base de Datos'!D27:AB27,PCA!$E$4:$E$28)</f>
        <v>2.3942145706437605</v>
      </c>
      <c r="F28" cm="1">
        <f t="array" ref="F28">MMULT('Base de Datos'!D27:AB27,PCA!$F$4:$F$28)</f>
        <v>-2.8625185071129984</v>
      </c>
      <c r="G28" cm="1">
        <f t="array" ref="G28">MMULT('Base de Datos'!D27:AB27,PCA!$G$4:$G$28)</f>
        <v>-5.2348240443701775</v>
      </c>
    </row>
    <row r="29" spans="1:7">
      <c r="A29" t="s">
        <v>54</v>
      </c>
      <c r="B29" cm="1">
        <f t="array" ref="B29">MMULT('Base de Datos'!D28:AB28,PCA!$B$4:$B$28)</f>
        <v>-0.43372593301696283</v>
      </c>
      <c r="C29" cm="1">
        <f t="array" ref="C29">MMULT('Base de Datos'!D28:AB28,PCA!$C$4:$C$28)</f>
        <v>-1.5948387289679051</v>
      </c>
      <c r="D29" cm="1">
        <f t="array" ref="D29">MMULT('Base de Datos'!D28:AB28,PCA!$D$4:$D$28)</f>
        <v>2.2334692567140739</v>
      </c>
      <c r="E29" cm="1">
        <f t="array" ref="E29">MMULT('Base de Datos'!D28:AB28,PCA!$E$4:$E$28)</f>
        <v>4.4511966324035726</v>
      </c>
      <c r="F29" cm="1">
        <f t="array" ref="F29">MMULT('Base de Datos'!D28:AB28,PCA!$F$4:$F$28)</f>
        <v>1.9934171410706907</v>
      </c>
      <c r="G29" cm="1">
        <f t="array" ref="G29">MMULT('Base de Datos'!D28:AB28,PCA!$G$4:$G$28)</f>
        <v>-0.61143395976421056</v>
      </c>
    </row>
    <row r="30" spans="1:7">
      <c r="A30" t="s">
        <v>55</v>
      </c>
      <c r="B30" cm="1">
        <f t="array" ref="B30">MMULT('Base de Datos'!D29:AB29,PCA!$B$4:$B$28)</f>
        <v>-0.20332482694009843</v>
      </c>
      <c r="C30" cm="1">
        <f t="array" ref="C30">MMULT('Base de Datos'!D29:AB29,PCA!$C$4:$C$28)</f>
        <v>-2.6095059877402349</v>
      </c>
      <c r="D30" cm="1">
        <f t="array" ref="D30">MMULT('Base de Datos'!D29:AB29,PCA!$D$4:$D$28)</f>
        <v>8.1304773581740832</v>
      </c>
      <c r="E30" cm="1">
        <f t="array" ref="E30">MMULT('Base de Datos'!D29:AB29,PCA!$E$4:$E$28)</f>
        <v>7.5678234071873245</v>
      </c>
      <c r="F30" cm="1">
        <f t="array" ref="F30">MMULT('Base de Datos'!D29:AB29,PCA!$F$4:$F$28)</f>
        <v>3.6452024935385312</v>
      </c>
      <c r="G30" cm="1">
        <f t="array" ref="G30">MMULT('Base de Datos'!D29:AB29,PCA!$G$4:$G$28)</f>
        <v>-0.82453077883768711</v>
      </c>
    </row>
    <row r="31" spans="1:7">
      <c r="A31" t="s">
        <v>56</v>
      </c>
      <c r="B31" cm="1">
        <f t="array" ref="B31">MMULT('Base de Datos'!D30:AB30,PCA!$B$4:$B$28)</f>
        <v>-6.5994625357064471</v>
      </c>
      <c r="C31" cm="1">
        <f t="array" ref="C31">MMULT('Base de Datos'!D30:AB30,PCA!$C$4:$C$28)</f>
        <v>3.2441800740472964</v>
      </c>
      <c r="D31" cm="1">
        <f t="array" ref="D31">MMULT('Base de Datos'!D30:AB30,PCA!$D$4:$D$28)</f>
        <v>-12.903730979064534</v>
      </c>
      <c r="E31" cm="1">
        <f t="array" ref="E31">MMULT('Base de Datos'!D30:AB30,PCA!$E$4:$E$28)</f>
        <v>3.775494145226816</v>
      </c>
      <c r="F31" cm="1">
        <f t="array" ref="F31">MMULT('Base de Datos'!D30:AB30,PCA!$F$4:$F$28)</f>
        <v>-0.95333894328846414</v>
      </c>
      <c r="G31" cm="1">
        <f t="array" ref="G31">MMULT('Base de Datos'!D30:AB30,PCA!$G$4:$G$28)</f>
        <v>-5.0166831804408138</v>
      </c>
    </row>
    <row r="32" spans="1:7">
      <c r="A32" t="s">
        <v>57</v>
      </c>
      <c r="B32" cm="1">
        <f t="array" ref="B32">MMULT('Base de Datos'!D31:AB31,PCA!$B$4:$B$28)</f>
        <v>-3.3517632451300505</v>
      </c>
      <c r="C32" cm="1">
        <f t="array" ref="C32">MMULT('Base de Datos'!D31:AB31,PCA!$C$4:$C$28)</f>
        <v>1.6231056700934348</v>
      </c>
      <c r="D32" cm="1">
        <f t="array" ref="D32">MMULT('Base de Datos'!D31:AB31,PCA!$D$4:$D$28)</f>
        <v>-6.5699387398575784</v>
      </c>
      <c r="E32" cm="1">
        <f t="array" ref="E32">MMULT('Base de Datos'!D31:AB31,PCA!$E$4:$E$28)</f>
        <v>2.5715062622052214</v>
      </c>
      <c r="F32" cm="1">
        <f t="array" ref="F32">MMULT('Base de Datos'!D31:AB31,PCA!$F$4:$F$28)</f>
        <v>0.58895224849344185</v>
      </c>
      <c r="G32" cm="1">
        <f t="array" ref="G32">MMULT('Base de Datos'!D31:AB31,PCA!$G$4:$G$28)</f>
        <v>-2.6827384108669516</v>
      </c>
    </row>
    <row r="33" spans="1:7">
      <c r="A33" s="3" t="s">
        <v>58</v>
      </c>
      <c r="B33" cm="1">
        <f t="array" ref="B33">MMULT('Base de Datos'!D32:AB32,PCA!$B$4:$B$28)</f>
        <v>-7.2371730350032788</v>
      </c>
      <c r="C33" cm="1">
        <f t="array" ref="C33">MMULT('Base de Datos'!D32:AB32,PCA!$C$4:$C$28)</f>
        <v>1.7951753048855081</v>
      </c>
      <c r="D33" cm="1">
        <f t="array" ref="D33">MMULT('Base de Datos'!D32:AB32,PCA!$D$4:$D$28)</f>
        <v>-13.218624114818677</v>
      </c>
      <c r="E33" cm="1">
        <f t="array" ref="E33">MMULT('Base de Datos'!D32:AB32,PCA!$E$4:$E$28)</f>
        <v>-0.23351891795016319</v>
      </c>
      <c r="F33" cm="1">
        <f t="array" ref="F33">MMULT('Base de Datos'!D32:AB32,PCA!$F$4:$F$28)</f>
        <v>0.50597354668632677</v>
      </c>
      <c r="G33" cm="1">
        <f t="array" ref="G33">MMULT('Base de Datos'!D32:AB32,PCA!$G$4:$G$28)</f>
        <v>-5.9781865512250683</v>
      </c>
    </row>
    <row r="34" spans="1:7">
      <c r="A34" s="2" t="s">
        <v>107</v>
      </c>
      <c r="B34" cm="1">
        <f t="array" ref="B34">MMULT('Base de Datos'!D33:AB33,PCA!$B$4:$B$28)</f>
        <v>-15.521732698831343</v>
      </c>
      <c r="C34" cm="1">
        <f t="array" ref="C34">MMULT('Base de Datos'!D33:AB33,PCA!$C$4:$C$28)</f>
        <v>9.1627676442664292</v>
      </c>
      <c r="D34" cm="1">
        <f t="array" ref="D34">MMULT('Base de Datos'!D33:AB33,PCA!$D$4:$D$28)</f>
        <v>-38.049863388622491</v>
      </c>
      <c r="E34" cm="1">
        <f t="array" ref="E34">MMULT('Base de Datos'!D33:AB33,PCA!$E$4:$E$28)</f>
        <v>-0.32246129452257083</v>
      </c>
      <c r="F34" cm="1">
        <f t="array" ref="F34">MMULT('Base de Datos'!D33:AB33,PCA!$F$4:$F$28)</f>
        <v>-6.845284116219144</v>
      </c>
      <c r="G34" cm="1">
        <f t="array" ref="G34">MMULT('Base de Datos'!D33:AB33,PCA!$G$4:$G$28)</f>
        <v>-9.8493249857697283</v>
      </c>
    </row>
    <row r="35" spans="1:7">
      <c r="A35" t="s">
        <v>100</v>
      </c>
      <c r="B35" cm="1">
        <f t="array" ref="B35">MMULT('Base de Datos'!D34:AB34,PCA!$B$4:$B$28)</f>
        <v>-29.205463805299555</v>
      </c>
      <c r="C35" cm="1">
        <f t="array" ref="C35">MMULT('Base de Datos'!D34:AB34,PCA!$C$4:$C$28)</f>
        <v>10.469257167474211</v>
      </c>
      <c r="D35" cm="1">
        <f t="array" ref="D35">MMULT('Base de Datos'!D34:AB34,PCA!$D$4:$D$28)</f>
        <v>-36.348977668992916</v>
      </c>
      <c r="E35" cm="1">
        <f t="array" ref="E35">MMULT('Base de Datos'!D34:AB34,PCA!$E$4:$E$28)</f>
        <v>29.529447850266415</v>
      </c>
      <c r="F35" cm="1">
        <f t="array" ref="F35">MMULT('Base de Datos'!D34:AB34,PCA!$F$4:$F$28)</f>
        <v>-4.2315209378784315</v>
      </c>
      <c r="G35" cm="1">
        <f t="array" ref="G35">MMULT('Base de Datos'!D34:AB34,PCA!$G$4:$G$28)</f>
        <v>-22.160256777206936</v>
      </c>
    </row>
    <row r="36" spans="1:7">
      <c r="A36" t="s">
        <v>213</v>
      </c>
      <c r="B36" cm="1">
        <f t="array" ref="B36">MMULT('Base de Datos'!D35:AB35,PCA!$B$4:$B$28)</f>
        <v>-8.9818453789199619</v>
      </c>
      <c r="C36" cm="1">
        <f t="array" ref="C36">MMULT('Base de Datos'!D35:AB35,PCA!$C$4:$C$28)</f>
        <v>1.4548887803729798</v>
      </c>
      <c r="D36" cm="1">
        <f t="array" ref="D36">MMULT('Base de Datos'!D35:AB35,PCA!$D$4:$D$28)</f>
        <v>-11.338658632366826</v>
      </c>
      <c r="E36" cm="1">
        <f t="array" ref="E36">MMULT('Base de Datos'!D35:AB35,PCA!$E$4:$E$28)</f>
        <v>7.0532844559435359</v>
      </c>
      <c r="F36" cm="1">
        <f t="array" ref="F36">MMULT('Base de Datos'!D35:AB35,PCA!$F$4:$F$28)</f>
        <v>0.94648270273057666</v>
      </c>
      <c r="G36" cm="1">
        <f t="array" ref="G36">MMULT('Base de Datos'!D35:AB35,PCA!$G$4:$G$28)</f>
        <v>-7.8644602815246687</v>
      </c>
    </row>
    <row r="37" spans="1:7">
      <c r="A37" t="s">
        <v>101</v>
      </c>
      <c r="B37" cm="1">
        <f t="array" ref="B37">MMULT('Base de Datos'!D36:AB36,PCA!$B$4:$B$28)</f>
        <v>-4.6611163797099184</v>
      </c>
      <c r="C37" cm="1">
        <f t="array" ref="C37">MMULT('Base de Datos'!D36:AB36,PCA!$C$4:$C$28)</f>
        <v>0.65001589883606725</v>
      </c>
      <c r="D37" cm="1">
        <f t="array" ref="D37">MMULT('Base de Datos'!D36:AB36,PCA!$D$4:$D$28)</f>
        <v>-10.103323748867583</v>
      </c>
      <c r="E37" cm="1">
        <f t="array" ref="E37">MMULT('Base de Datos'!D36:AB36,PCA!$E$4:$E$28)</f>
        <v>1.1211741149005021</v>
      </c>
      <c r="F37" cm="1">
        <f t="array" ref="F37">MMULT('Base de Datos'!D36:AB36,PCA!$F$4:$F$28)</f>
        <v>-0.17528428835069371</v>
      </c>
      <c r="G37" cm="1">
        <f t="array" ref="G37">MMULT('Base de Datos'!D36:AB36,PCA!$G$4:$G$28)</f>
        <v>-3.9320549524951383</v>
      </c>
    </row>
    <row r="38" spans="1:7">
      <c r="A38" t="s">
        <v>102</v>
      </c>
      <c r="B38" cm="1">
        <f t="array" ref="B38">MMULT('Base de Datos'!D37:AB37,PCA!$B$4:$B$28)</f>
        <v>-4.4905440047860701</v>
      </c>
      <c r="C38" cm="1">
        <f t="array" ref="C38">MMULT('Base de Datos'!D37:AB37,PCA!$C$4:$C$28)</f>
        <v>1.145030316146018</v>
      </c>
      <c r="D38" cm="1">
        <f t="array" ref="D38">MMULT('Base de Datos'!D37:AB37,PCA!$D$4:$D$28)</f>
        <v>-10.200288097048011</v>
      </c>
      <c r="E38" cm="1">
        <f t="array" ref="E38">MMULT('Base de Datos'!D37:AB37,PCA!$E$4:$E$28)</f>
        <v>1.5214271115543823</v>
      </c>
      <c r="F38" cm="1">
        <f t="array" ref="F38">MMULT('Base de Datos'!D37:AB37,PCA!$F$4:$F$28)</f>
        <v>-0.35852818447876339</v>
      </c>
      <c r="G38" cm="1">
        <f t="array" ref="G38">MMULT('Base de Datos'!D37:AB37,PCA!$G$4:$G$28)</f>
        <v>-3.6471590965662539</v>
      </c>
    </row>
    <row r="39" spans="1:7">
      <c r="A39" t="s">
        <v>103</v>
      </c>
      <c r="B39" cm="1">
        <f t="array" ref="B39">MMULT('Base de Datos'!D38:AB38,PCA!$B$4:$B$28)</f>
        <v>-26.871101901430478</v>
      </c>
      <c r="C39" cm="1">
        <f t="array" ref="C39">MMULT('Base de Datos'!D38:AB38,PCA!$C$4:$C$28)</f>
        <v>8.7898902942719186</v>
      </c>
      <c r="D39" cm="1">
        <f t="array" ref="D39">MMULT('Base de Datos'!D38:AB38,PCA!$D$4:$D$28)</f>
        <v>-42.406812244671194</v>
      </c>
      <c r="E39" cm="1">
        <f t="array" ref="E39">MMULT('Base de Datos'!D38:AB38,PCA!$E$4:$E$28)</f>
        <v>15.789807813576129</v>
      </c>
      <c r="F39" cm="1">
        <f t="array" ref="F39">MMULT('Base de Datos'!D38:AB38,PCA!$F$4:$F$28)</f>
        <v>-7.4990664720592966</v>
      </c>
      <c r="G39" cm="1">
        <f t="array" ref="G39">MMULT('Base de Datos'!D38:AB38,PCA!$G$4:$G$28)</f>
        <v>-21.49043680120279</v>
      </c>
    </row>
    <row r="40" spans="1:7">
      <c r="A40" t="s">
        <v>105</v>
      </c>
      <c r="B40" cm="1">
        <f t="array" ref="B40">MMULT('Base de Datos'!D39:AB39,PCA!$B$4:$B$28)</f>
        <v>-4.8369255937446507</v>
      </c>
      <c r="C40" cm="1">
        <f t="array" ref="C40">MMULT('Base de Datos'!D39:AB39,PCA!$C$4:$C$28)</f>
        <v>2.342889444068764</v>
      </c>
      <c r="D40" cm="1">
        <f t="array" ref="D40">MMULT('Base de Datos'!D39:AB39,PCA!$D$4:$D$28)</f>
        <v>-10.645423825159012</v>
      </c>
      <c r="E40" cm="1">
        <f t="array" ref="E40">MMULT('Base de Datos'!D39:AB39,PCA!$E$4:$E$28)</f>
        <v>-2.3294182563997907</v>
      </c>
      <c r="F40" cm="1">
        <f t="array" ref="F40">MMULT('Base de Datos'!D39:AB39,PCA!$F$4:$F$28)</f>
        <v>1.3851818971993719</v>
      </c>
      <c r="G40" cm="1">
        <f t="array" ref="G40">MMULT('Base de Datos'!D39:AB39,PCA!$G$4:$G$28)</f>
        <v>-3.4949926250654437</v>
      </c>
    </row>
    <row r="41" spans="1:7">
      <c r="A41" t="s">
        <v>104</v>
      </c>
      <c r="B41" cm="1">
        <f t="array" ref="B41">MMULT('Base de Datos'!D40:AB40,PCA!$B$4:$B$28)</f>
        <v>-3.3434641052448075</v>
      </c>
      <c r="C41" cm="1">
        <f t="array" ref="C41">MMULT('Base de Datos'!D40:AB40,PCA!$C$4:$C$28)</f>
        <v>-0.99762016789009267</v>
      </c>
      <c r="D41" cm="1">
        <f t="array" ref="D41">MMULT('Base de Datos'!D40:AB40,PCA!$D$4:$D$28)</f>
        <v>-6.5407690259007731</v>
      </c>
      <c r="E41" cm="1">
        <f t="array" ref="E41">MMULT('Base de Datos'!D40:AB40,PCA!$E$4:$E$28)</f>
        <v>-5.4969225530576094E-2</v>
      </c>
      <c r="F41" cm="1">
        <f t="array" ref="F41">MMULT('Base de Datos'!D40:AB40,PCA!$F$4:$F$28)</f>
        <v>0.79347543882137517</v>
      </c>
      <c r="G41" cm="1">
        <f t="array" ref="G41">MMULT('Base de Datos'!D40:AB40,PCA!$G$4:$G$28)</f>
        <v>-3.0379310249203515</v>
      </c>
    </row>
    <row r="42" spans="1:7">
      <c r="A42" t="s">
        <v>106</v>
      </c>
      <c r="B42" cm="1">
        <f t="array" ref="B42">MMULT('Base de Datos'!D41:AB41,PCA!$B$4:$B$28)</f>
        <v>1.2002468232800449</v>
      </c>
      <c r="C42" cm="1">
        <f t="array" ref="C42">MMULT('Base de Datos'!D41:AB41,PCA!$C$4:$C$28)</f>
        <v>-2.9194305522582185</v>
      </c>
      <c r="D42" cm="1">
        <f t="array" ref="D42">MMULT('Base de Datos'!D41:AB41,PCA!$D$4:$D$28)</f>
        <v>2.2365330180556153</v>
      </c>
      <c r="E42" cm="1">
        <f t="array" ref="E42">MMULT('Base de Datos'!D41:AB41,PCA!$E$4:$E$28)</f>
        <v>0.53666256436099868</v>
      </c>
      <c r="F42" cm="1">
        <f t="array" ref="F42">MMULT('Base de Datos'!D41:AB41,PCA!$F$4:$F$28)</f>
        <v>2.6442746535602386</v>
      </c>
      <c r="G42" cm="1">
        <f t="array" ref="G42">MMULT('Base de Datos'!D41:AB41,PCA!$G$4:$G$28)</f>
        <v>0.11652045345113193</v>
      </c>
    </row>
    <row r="43" spans="1:7">
      <c r="A43" s="3" t="s">
        <v>144</v>
      </c>
      <c r="B43" cm="1">
        <f t="array" ref="B43">MMULT('Base de Datos'!D42:AB42,PCA!$B$4:$B$28)</f>
        <v>-3.1337584793294613</v>
      </c>
      <c r="C43" cm="1">
        <f t="array" ref="C43">MMULT('Base de Datos'!D42:AB42,PCA!$C$4:$C$28)</f>
        <v>-1.2928774073366174</v>
      </c>
      <c r="D43" cm="1">
        <f t="array" ref="D43">MMULT('Base de Datos'!D42:AB42,PCA!$D$4:$D$28)</f>
        <v>-6.468519879794763</v>
      </c>
      <c r="E43" cm="1">
        <f t="array" ref="E43">MMULT('Base de Datos'!D42:AB42,PCA!$E$4:$E$28)</f>
        <v>0.3442455661854294</v>
      </c>
      <c r="F43" cm="1">
        <f t="array" ref="F43">MMULT('Base de Datos'!D42:AB42,PCA!$F$4:$F$28)</f>
        <v>0.8496968474348251</v>
      </c>
      <c r="G43" cm="1">
        <f t="array" ref="G43">MMULT('Base de Datos'!D42:AB42,PCA!$G$4:$G$28)</f>
        <v>-3.0287658688582875</v>
      </c>
    </row>
    <row r="44" spans="1:7">
      <c r="A44" s="2" t="s">
        <v>93</v>
      </c>
      <c r="B44" cm="1">
        <f t="array" ref="B44">MMULT('Base de Datos'!D43:AB43,PCA!$B$4:$B$28)</f>
        <v>9.5074166969317009</v>
      </c>
      <c r="C44" cm="1">
        <f t="array" ref="C44">MMULT('Base de Datos'!D43:AB43,PCA!$C$4:$C$28)</f>
        <v>-8.849780077192781</v>
      </c>
      <c r="D44" cm="1">
        <f t="array" ref="D44">MMULT('Base de Datos'!D43:AB43,PCA!$D$4:$D$28)</f>
        <v>26.13202244618623</v>
      </c>
      <c r="E44" cm="1">
        <f t="array" ref="E44">MMULT('Base de Datos'!D43:AB43,PCA!$E$4:$E$28)</f>
        <v>4.739012986114135</v>
      </c>
      <c r="F44" cm="1">
        <f t="array" ref="F44">MMULT('Base de Datos'!D43:AB43,PCA!$F$4:$F$28)</f>
        <v>7.9843663388901938</v>
      </c>
      <c r="G44" cm="1">
        <f t="array" ref="G44">MMULT('Base de Datos'!D43:AB43,PCA!$G$4:$G$28)</f>
        <v>5.3558986072095705</v>
      </c>
    </row>
    <row r="45" spans="1:7">
      <c r="A45" t="s">
        <v>85</v>
      </c>
      <c r="B45" cm="1">
        <f t="array" ref="B45">MMULT('Base de Datos'!D44:AB44,PCA!$B$4:$B$28)</f>
        <v>-0.97933892564913227</v>
      </c>
      <c r="C45" cm="1">
        <f t="array" ref="C45">MMULT('Base de Datos'!D44:AB44,PCA!$C$4:$C$28)</f>
        <v>-0.61386102473310666</v>
      </c>
      <c r="D45" cm="1">
        <f t="array" ref="D45">MMULT('Base de Datos'!D44:AB44,PCA!$D$4:$D$28)</f>
        <v>-2.626850306595613</v>
      </c>
      <c r="E45" cm="1">
        <f t="array" ref="E45">MMULT('Base de Datos'!D44:AB44,PCA!$E$4:$E$28)</f>
        <v>-0.35938507167472084</v>
      </c>
      <c r="F45" cm="1">
        <f t="array" ref="F45">MMULT('Base de Datos'!D44:AB44,PCA!$F$4:$F$28)</f>
        <v>2.7336416474857153</v>
      </c>
      <c r="G45" cm="1">
        <f t="array" ref="G45">MMULT('Base de Datos'!D44:AB44,PCA!$G$4:$G$28)</f>
        <v>-0.40894090948292522</v>
      </c>
    </row>
    <row r="46" spans="1:7">
      <c r="A46" t="s">
        <v>86</v>
      </c>
      <c r="B46" cm="1">
        <f t="array" ref="B46">MMULT('Base de Datos'!D45:AB45,PCA!$B$4:$B$28)</f>
        <v>-10.100631114160301</v>
      </c>
      <c r="C46" cm="1">
        <f t="array" ref="C46">MMULT('Base de Datos'!D45:AB45,PCA!$C$4:$C$28)</f>
        <v>4.9907948694151143</v>
      </c>
      <c r="D46" cm="1">
        <f t="array" ref="D46">MMULT('Base de Datos'!D45:AB45,PCA!$D$4:$D$28)</f>
        <v>-22.018760983705864</v>
      </c>
      <c r="E46" cm="1">
        <f t="array" ref="E46">MMULT('Base de Datos'!D45:AB45,PCA!$E$4:$E$28)</f>
        <v>4.4951953589221931</v>
      </c>
      <c r="F46" cm="1">
        <f t="array" ref="F46">MMULT('Base de Datos'!D45:AB45,PCA!$F$4:$F$28)</f>
        <v>-2.9827365215233108</v>
      </c>
      <c r="G46" cm="1">
        <f t="array" ref="G46">MMULT('Base de Datos'!D45:AB45,PCA!$G$4:$G$28)</f>
        <v>-6.4504739363219086</v>
      </c>
    </row>
    <row r="47" spans="1:7">
      <c r="A47" t="s">
        <v>87</v>
      </c>
      <c r="B47" cm="1">
        <f t="array" ref="B47">MMULT('Base de Datos'!D46:AB46,PCA!$B$4:$B$28)</f>
        <v>-6.6406675261213417</v>
      </c>
      <c r="C47" cm="1">
        <f t="array" ref="C47">MMULT('Base de Datos'!D46:AB46,PCA!$C$4:$C$28)</f>
        <v>2.452304886677239</v>
      </c>
      <c r="D47" cm="1">
        <f t="array" ref="D47">MMULT('Base de Datos'!D46:AB46,PCA!$D$4:$D$28)</f>
        <v>-14.540764477361948</v>
      </c>
      <c r="E47" cm="1">
        <f t="array" ref="E47">MMULT('Base de Datos'!D46:AB46,PCA!$E$4:$E$28)</f>
        <v>3.434686621164126</v>
      </c>
      <c r="F47" cm="1">
        <f t="array" ref="F47">MMULT('Base de Datos'!D46:AB46,PCA!$F$4:$F$28)</f>
        <v>-1.4355868400890364</v>
      </c>
      <c r="G47" cm="1">
        <f t="array" ref="G47">MMULT('Base de Datos'!D46:AB46,PCA!$G$4:$G$28)</f>
        <v>-4.3600296431278176</v>
      </c>
    </row>
    <row r="48" spans="1:7">
      <c r="A48" t="s">
        <v>88</v>
      </c>
      <c r="B48" cm="1">
        <f t="array" ref="B48">MMULT('Base de Datos'!D47:AB47,PCA!$B$4:$B$28)</f>
        <v>10.374607978674206</v>
      </c>
      <c r="C48" cm="1">
        <f t="array" ref="C48">MMULT('Base de Datos'!D47:AB47,PCA!$C$4:$C$28)</f>
        <v>-9.5402816440529676</v>
      </c>
      <c r="D48" cm="1">
        <f t="array" ref="D48">MMULT('Base de Datos'!D47:AB47,PCA!$D$4:$D$28)</f>
        <v>28.011185110646448</v>
      </c>
      <c r="E48" cm="1">
        <f t="array" ref="E48">MMULT('Base de Datos'!D47:AB47,PCA!$E$4:$E$28)</f>
        <v>4.7566507534218907</v>
      </c>
      <c r="F48" cm="1">
        <f t="array" ref="F48">MMULT('Base de Datos'!D47:AB47,PCA!$F$4:$F$28)</f>
        <v>8.3619494176800018</v>
      </c>
      <c r="G48" cm="1">
        <f t="array" ref="G48">MMULT('Base de Datos'!D47:AB47,PCA!$G$4:$G$28)</f>
        <v>6.1764028939310114</v>
      </c>
    </row>
    <row r="49" spans="1:7">
      <c r="A49" t="s">
        <v>89</v>
      </c>
      <c r="B49" cm="1">
        <f t="array" ref="B49">MMULT('Base de Datos'!D48:AB48,PCA!$B$4:$B$28)</f>
        <v>-5.7302454439728558</v>
      </c>
      <c r="C49" cm="1">
        <f t="array" ref="C49">MMULT('Base de Datos'!D48:AB48,PCA!$C$4:$C$28)</f>
        <v>2.2634449511522248</v>
      </c>
      <c r="D49" cm="1">
        <f t="array" ref="D49">MMULT('Base de Datos'!D48:AB48,PCA!$D$4:$D$28)</f>
        <v>-11.431015399461616</v>
      </c>
      <c r="E49" cm="1">
        <f t="array" ref="E49">MMULT('Base de Datos'!D48:AB48,PCA!$E$4:$E$28)</f>
        <v>4.683495267187987</v>
      </c>
      <c r="F49" cm="1">
        <f t="array" ref="F49">MMULT('Base de Datos'!D48:AB48,PCA!$F$4:$F$28)</f>
        <v>-0.47788221585864216</v>
      </c>
      <c r="G49" cm="1">
        <f t="array" ref="G49">MMULT('Base de Datos'!D48:AB48,PCA!$G$4:$G$28)</f>
        <v>-3.8415934278813126</v>
      </c>
    </row>
    <row r="50" spans="1:7">
      <c r="A50" t="s">
        <v>212</v>
      </c>
      <c r="B50" cm="1">
        <f t="array" ref="B50">MMULT('Base de Datos'!D49:AB49,PCA!$B$4:$B$28)</f>
        <v>-9.5952328792316486</v>
      </c>
      <c r="C50" cm="1">
        <f t="array" ref="C50">MMULT('Base de Datos'!D49:AB49,PCA!$C$4:$C$28)</f>
        <v>7.2120698948489643</v>
      </c>
      <c r="D50" cm="1">
        <f t="array" ref="D50">MMULT('Base de Datos'!D49:AB49,PCA!$D$4:$D$28)</f>
        <v>-23.821658601386858</v>
      </c>
      <c r="E50" cm="1">
        <f t="array" ref="E50">MMULT('Base de Datos'!D49:AB49,PCA!$E$4:$E$28)</f>
        <v>-1.7716338862161487</v>
      </c>
      <c r="F50" cm="1">
        <f t="array" ref="F50">MMULT('Base de Datos'!D49:AB49,PCA!$F$4:$F$28)</f>
        <v>-3.5127867169466374</v>
      </c>
      <c r="G50" cm="1">
        <f t="array" ref="G50">MMULT('Base de Datos'!D49:AB49,PCA!$G$4:$G$28)</f>
        <v>-5.1065600318762288</v>
      </c>
    </row>
    <row r="51" spans="1:7">
      <c r="A51" t="s">
        <v>90</v>
      </c>
      <c r="B51" cm="1">
        <f t="array" ref="B51">MMULT('Base de Datos'!D50:AB50,PCA!$B$4:$B$28)</f>
        <v>-2.5703374048350347</v>
      </c>
      <c r="C51" cm="1">
        <f t="array" ref="C51">MMULT('Base de Datos'!D50:AB50,PCA!$C$4:$C$28)</f>
        <v>-0.41331644099551401</v>
      </c>
      <c r="D51" cm="1">
        <f t="array" ref="D51">MMULT('Base de Datos'!D50:AB50,PCA!$D$4:$D$28)</f>
        <v>-3.3869870982201622</v>
      </c>
      <c r="E51" cm="1">
        <f t="array" ref="E51">MMULT('Base de Datos'!D50:AB50,PCA!$E$4:$E$28)</f>
        <v>-0.40902964564742983</v>
      </c>
      <c r="F51" cm="1">
        <f t="array" ref="F51">MMULT('Base de Datos'!D50:AB50,PCA!$F$4:$F$28)</f>
        <v>3.68271393485686</v>
      </c>
      <c r="G51" cm="1">
        <f t="array" ref="G51">MMULT('Base de Datos'!D50:AB50,PCA!$G$4:$G$28)</f>
        <v>-2.3268018418924381</v>
      </c>
    </row>
    <row r="52" spans="1:7">
      <c r="A52" t="s">
        <v>91</v>
      </c>
      <c r="B52" cm="1">
        <f t="array" ref="B52">MMULT('Base de Datos'!D51:AB51,PCA!$B$4:$B$28)</f>
        <v>-2.287343594646492</v>
      </c>
      <c r="C52" cm="1">
        <f t="array" ref="C52">MMULT('Base de Datos'!D51:AB51,PCA!$C$4:$C$28)</f>
        <v>-0.95656971840664617</v>
      </c>
      <c r="D52" cm="1">
        <f t="array" ref="D52">MMULT('Base de Datos'!D51:AB51,PCA!$D$4:$D$28)</f>
        <v>-1.1145157822440499</v>
      </c>
      <c r="E52" cm="1">
        <f t="array" ref="E52">MMULT('Base de Datos'!D51:AB51,PCA!$E$4:$E$28)</f>
        <v>6.7867091734653933</v>
      </c>
      <c r="F52" cm="1">
        <f t="array" ref="F52">MMULT('Base de Datos'!D51:AB51,PCA!$F$4:$F$28)</f>
        <v>1.8194224019752336</v>
      </c>
      <c r="G52" cm="1">
        <f t="array" ref="G52">MMULT('Base de Datos'!D51:AB51,PCA!$G$4:$G$28)</f>
        <v>-1.8913568071009874</v>
      </c>
    </row>
    <row r="53" spans="1:7">
      <c r="A53" s="3" t="s">
        <v>92</v>
      </c>
      <c r="B53" cm="1">
        <f t="array" ref="B53">MMULT('Base de Datos'!D52:AB52,PCA!$B$4:$B$28)</f>
        <v>9.6997226888498211</v>
      </c>
      <c r="C53" cm="1">
        <f t="array" ref="C53">MMULT('Base de Datos'!D52:AB52,PCA!$C$4:$C$28)</f>
        <v>-11.091061572527842</v>
      </c>
      <c r="D53" cm="1">
        <f t="array" ref="D53">MMULT('Base de Datos'!D52:AB52,PCA!$D$4:$D$28)</f>
        <v>33.828039935912933</v>
      </c>
      <c r="E53" cm="1">
        <f t="array" ref="E53">MMULT('Base de Datos'!D52:AB52,PCA!$E$4:$E$28)</f>
        <v>11.117661921335174</v>
      </c>
      <c r="F53" cm="1">
        <f t="array" ref="F53">MMULT('Base de Datos'!D52:AB52,PCA!$F$4:$F$28)</f>
        <v>9.9779457394231041</v>
      </c>
      <c r="G53" cm="1">
        <f t="array" ref="G53">MMULT('Base de Datos'!D52:AB52,PCA!$G$4:$G$28)</f>
        <v>4.8802412548991532</v>
      </c>
    </row>
    <row r="54" spans="1:7">
      <c r="A54" s="2" t="s">
        <v>208</v>
      </c>
      <c r="B54" cm="1">
        <f t="array" ref="B54">MMULT('Base de Datos'!D53:AB53,PCA!$B$4:$B$28)</f>
        <v>-8.0804319335837036</v>
      </c>
      <c r="C54" cm="1">
        <f t="array" ref="C54">MMULT('Base de Datos'!D53:AB53,PCA!$C$4:$C$28)</f>
        <v>2.4804972798796618</v>
      </c>
      <c r="D54" cm="1">
        <f t="array" ref="D54">MMULT('Base de Datos'!D53:AB53,PCA!$D$4:$D$28)</f>
        <v>-12.44076650256242</v>
      </c>
      <c r="E54" cm="1">
        <f t="array" ref="E54">MMULT('Base de Datos'!D53:AB53,PCA!$E$4:$E$28)</f>
        <v>4.8833396347807643</v>
      </c>
      <c r="F54" cm="1">
        <f t="array" ref="F54">MMULT('Base de Datos'!D53:AB53,PCA!$F$4:$F$28)</f>
        <v>-0.93600936837383697</v>
      </c>
      <c r="G54" cm="1">
        <f t="array" ref="G54">MMULT('Base de Datos'!D53:AB53,PCA!$G$4:$G$28)</f>
        <v>-5.6248054774973566</v>
      </c>
    </row>
    <row r="55" spans="1:7">
      <c r="A55" t="s">
        <v>209</v>
      </c>
      <c r="B55" cm="1">
        <f t="array" ref="B55">MMULT('Base de Datos'!D54:AB54,PCA!$B$4:$B$28)</f>
        <v>-6.4165229840937403</v>
      </c>
      <c r="C55" cm="1">
        <f t="array" ref="C55">MMULT('Base de Datos'!D54:AB54,PCA!$C$4:$C$28)</f>
        <v>2.0643481849054228</v>
      </c>
      <c r="D55" cm="1">
        <f t="array" ref="D55">MMULT('Base de Datos'!D54:AB54,PCA!$D$4:$D$28)</f>
        <v>-10.605444917004677</v>
      </c>
      <c r="E55" cm="1">
        <f t="array" ref="E55">MMULT('Base de Datos'!D54:AB54,PCA!$E$4:$E$28)</f>
        <v>4.4270659181453054</v>
      </c>
      <c r="F55" cm="1">
        <f t="array" ref="F55">MMULT('Base de Datos'!D54:AB54,PCA!$F$4:$F$28)</f>
        <v>-0.31136024429112474</v>
      </c>
      <c r="G55" cm="1">
        <f t="array" ref="G55">MMULT('Base de Datos'!D54:AB54,PCA!$G$4:$G$28)</f>
        <v>-3.9064458318571043</v>
      </c>
    </row>
    <row r="56" spans="1:7">
      <c r="A56" t="s">
        <v>210</v>
      </c>
      <c r="B56" cm="1">
        <f t="array" ref="B56">MMULT('Base de Datos'!D55:AB55,PCA!$B$4:$B$28)</f>
        <v>-19.445669463444524</v>
      </c>
      <c r="C56" cm="1">
        <f t="array" ref="C56">MMULT('Base de Datos'!D55:AB55,PCA!$C$4:$C$28)</f>
        <v>11.480264778483463</v>
      </c>
      <c r="D56" cm="1">
        <f t="array" ref="D56">MMULT('Base de Datos'!D55:AB55,PCA!$D$4:$D$28)</f>
        <v>-40.521483176038693</v>
      </c>
      <c r="E56" cm="1">
        <f t="array" ref="E56">MMULT('Base de Datos'!D55:AB55,PCA!$E$4:$E$28)</f>
        <v>5.0756188718740498</v>
      </c>
      <c r="F56" cm="1">
        <f t="array" ref="F56">MMULT('Base de Datos'!D55:AB55,PCA!$F$4:$F$28)</f>
        <v>-7.6265674651277511</v>
      </c>
      <c r="G56" cm="1">
        <f t="array" ref="G56">MMULT('Base de Datos'!D55:AB55,PCA!$G$4:$G$28)</f>
        <v>-12.167717158309593</v>
      </c>
    </row>
    <row r="57" spans="1:7">
      <c r="A57" t="s">
        <v>211</v>
      </c>
      <c r="B57" cm="1">
        <f t="array" ref="B57">MMULT('Base de Datos'!D56:AB56,PCA!$B$4:$B$28)</f>
        <v>-11.711167777761988</v>
      </c>
      <c r="C57" cm="1">
        <f t="array" ref="C57">MMULT('Base de Datos'!D56:AB56,PCA!$C$4:$C$28)</f>
        <v>5.7967243157807058</v>
      </c>
      <c r="D57" cm="1">
        <f t="array" ref="D57">MMULT('Base de Datos'!D56:AB56,PCA!$D$4:$D$28)</f>
        <v>-19.397407778260519</v>
      </c>
      <c r="E57" cm="1">
        <f t="array" ref="E57">MMULT('Base de Datos'!D56:AB56,PCA!$E$4:$E$28)</f>
        <v>5.8288851390366263</v>
      </c>
      <c r="F57" cm="1">
        <f t="array" ref="F57">MMULT('Base de Datos'!D56:AB56,PCA!$F$4:$F$28)</f>
        <v>-1.7275656360606688</v>
      </c>
      <c r="G57" cm="1">
        <f t="array" ref="G57">MMULT('Base de Datos'!D56:AB56,PCA!$G$4:$G$28)</f>
        <v>-7.8836962425794468</v>
      </c>
    </row>
    <row r="58" spans="1:7">
      <c r="A58" t="s">
        <v>108</v>
      </c>
      <c r="B58" cm="1">
        <f t="array" ref="B58">MMULT('Base de Datos'!D57:AB57,PCA!$B$4:$B$28)</f>
        <v>-1.6783470699633094</v>
      </c>
      <c r="C58" cm="1">
        <f t="array" ref="C58">MMULT('Base de Datos'!D57:AB57,PCA!$C$4:$C$28)</f>
        <v>5.1712267674796095</v>
      </c>
      <c r="D58" cm="1">
        <f t="array" ref="D58">MMULT('Base de Datos'!D57:AB57,PCA!$D$4:$D$28)</f>
        <v>-5.7290665250891442</v>
      </c>
      <c r="E58" cm="1">
        <f t="array" ref="E58">MMULT('Base de Datos'!D57:AB57,PCA!$E$4:$E$28)</f>
        <v>6.0638942305996428</v>
      </c>
      <c r="F58" cm="1">
        <f t="array" ref="F58">MMULT('Base de Datos'!D57:AB57,PCA!$F$4:$F$28)</f>
        <v>9.4098262447094322E-2</v>
      </c>
      <c r="G58" cm="1">
        <f t="array" ref="G58">MMULT('Base de Datos'!D57:AB57,PCA!$G$4:$G$28)</f>
        <v>1.5380037852613035</v>
      </c>
    </row>
    <row r="59" spans="1:7">
      <c r="A59" t="s">
        <v>109</v>
      </c>
      <c r="B59" cm="1">
        <f t="array" ref="B59">MMULT('Base de Datos'!D58:AB58,PCA!$B$4:$B$28)</f>
        <v>-3.3813861035024861</v>
      </c>
      <c r="C59" cm="1">
        <f t="array" ref="C59">MMULT('Base de Datos'!D58:AB58,PCA!$C$4:$C$28)</f>
        <v>2.2626464404238167</v>
      </c>
      <c r="D59" cm="1">
        <f t="array" ref="D59">MMULT('Base de Datos'!D58:AB58,PCA!$D$4:$D$28)</f>
        <v>-5.2086114542264648</v>
      </c>
      <c r="E59" cm="1">
        <f t="array" ref="E59">MMULT('Base de Datos'!D58:AB58,PCA!$E$4:$E$28)</f>
        <v>-2.6740453127987514</v>
      </c>
      <c r="F59" cm="1">
        <f t="array" ref="F59">MMULT('Base de Datos'!D58:AB58,PCA!$F$4:$F$28)</f>
        <v>2.0754820566627741</v>
      </c>
      <c r="G59" cm="1">
        <f t="array" ref="G59">MMULT('Base de Datos'!D58:AB58,PCA!$G$4:$G$28)</f>
        <v>-0.98574814012121525</v>
      </c>
    </row>
    <row r="60" spans="1:7">
      <c r="A60" t="s">
        <v>110</v>
      </c>
      <c r="B60" cm="1">
        <f t="array" ref="B60">MMULT('Base de Datos'!D59:AB59,PCA!$B$4:$B$28)</f>
        <v>-12.768351423951202</v>
      </c>
      <c r="C60" cm="1">
        <f t="array" ref="C60">MMULT('Base de Datos'!D59:AB59,PCA!$C$4:$C$28)</f>
        <v>7.7946595015712141</v>
      </c>
      <c r="D60" cm="1">
        <f t="array" ref="D60">MMULT('Base de Datos'!D59:AB59,PCA!$D$4:$D$28)</f>
        <v>-27.905795626868287</v>
      </c>
      <c r="E60" cm="1">
        <f t="array" ref="E60">MMULT('Base de Datos'!D59:AB59,PCA!$E$4:$E$28)</f>
        <v>1.017820923855365</v>
      </c>
      <c r="F60" cm="1">
        <f t="array" ref="F60">MMULT('Base de Datos'!D59:AB59,PCA!$F$4:$F$28)</f>
        <v>-4.4562000261789354</v>
      </c>
      <c r="G60" cm="1">
        <f t="array" ref="G60">MMULT('Base de Datos'!D59:AB59,PCA!$G$4:$G$28)</f>
        <v>-8.2212774135304869</v>
      </c>
    </row>
    <row r="61" spans="1:7">
      <c r="A61" t="s">
        <v>207</v>
      </c>
      <c r="B61" cm="1">
        <f t="array" ref="B61">MMULT('Base de Datos'!D60:AB60,PCA!$B$4:$B$28)</f>
        <v>-10.039576174925744</v>
      </c>
      <c r="C61" cm="1">
        <f t="array" ref="C61">MMULT('Base de Datos'!D60:AB60,PCA!$C$4:$C$28)</f>
        <v>4.0858659127014318</v>
      </c>
      <c r="D61" cm="1">
        <f t="array" ref="D61">MMULT('Base de Datos'!D60:AB60,PCA!$D$4:$D$28)</f>
        <v>-16.588379221728371</v>
      </c>
      <c r="E61" cm="1">
        <f t="array" ref="E61">MMULT('Base de Datos'!D60:AB60,PCA!$E$4:$E$28)</f>
        <v>5.5604859173543613</v>
      </c>
      <c r="F61" cm="1">
        <f t="array" ref="F61">MMULT('Base de Datos'!D60:AB60,PCA!$F$4:$F$28)</f>
        <v>-1.8900345940398195</v>
      </c>
      <c r="G61" cm="1">
        <f t="array" ref="G61">MMULT('Base de Datos'!D60:AB60,PCA!$G$4:$G$28)</f>
        <v>-6.6285449472987663</v>
      </c>
    </row>
    <row r="62" spans="1:7">
      <c r="A62" t="s">
        <v>111</v>
      </c>
      <c r="B62" cm="1">
        <f t="array" ref="B62">MMULT('Base de Datos'!D61:AB61,PCA!$B$4:$B$28)</f>
        <v>-5.8023998611985492</v>
      </c>
      <c r="C62" cm="1">
        <f t="array" ref="C62">MMULT('Base de Datos'!D61:AB61,PCA!$C$4:$C$28)</f>
        <v>3.4704949656218624</v>
      </c>
      <c r="D62" cm="1">
        <f t="array" ref="D62">MMULT('Base de Datos'!D61:AB61,PCA!$D$4:$D$28)</f>
        <v>-12.320087555727438</v>
      </c>
      <c r="E62" cm="1">
        <f t="array" ref="E62">MMULT('Base de Datos'!D61:AB61,PCA!$E$4:$E$28)</f>
        <v>0.93656037047868212</v>
      </c>
      <c r="F62" cm="1">
        <f t="array" ref="F62">MMULT('Base de Datos'!D61:AB61,PCA!$F$4:$F$28)</f>
        <v>-1.2760979586614245</v>
      </c>
      <c r="G62" cm="1">
        <f t="array" ref="G62">MMULT('Base de Datos'!D61:AB61,PCA!$G$4:$G$28)</f>
        <v>-3.4883473206394555</v>
      </c>
    </row>
    <row r="63" spans="1:7">
      <c r="A63" s="3" t="s">
        <v>112</v>
      </c>
      <c r="B63" cm="1">
        <f t="array" ref="B63">MMULT('Base de Datos'!D62:AB62,PCA!$B$4:$B$28)</f>
        <v>-7.0806292148292567</v>
      </c>
      <c r="C63" cm="1">
        <f t="array" ref="C63">MMULT('Base de Datos'!D62:AB62,PCA!$C$4:$C$28)</f>
        <v>4.0204981758130582</v>
      </c>
      <c r="D63" cm="1">
        <f t="array" ref="D63">MMULT('Base de Datos'!D62:AB62,PCA!$D$4:$D$28)</f>
        <v>-14.421308286586891</v>
      </c>
      <c r="E63" cm="1">
        <f t="array" ref="E63">MMULT('Base de Datos'!D62:AB62,PCA!$E$4:$E$28)</f>
        <v>1.8889229886954586</v>
      </c>
      <c r="F63" cm="1">
        <f t="array" ref="F63">MMULT('Base de Datos'!D62:AB62,PCA!$F$4:$F$28)</f>
        <v>-1.5619749951986304</v>
      </c>
      <c r="G63" cm="1">
        <f t="array" ref="G63">MMULT('Base de Datos'!D62:AB62,PCA!$G$4:$G$28)</f>
        <v>-4.1124015102234441</v>
      </c>
    </row>
    <row r="64" spans="1:7">
      <c r="A64" s="2" t="s">
        <v>113</v>
      </c>
      <c r="B64" cm="1">
        <f t="array" ref="B64">MMULT('Base de Datos'!D63:AB63,PCA!$B$4:$B$28)</f>
        <v>-4.7048183505844454</v>
      </c>
      <c r="C64" cm="1">
        <f t="array" ref="C64">MMULT('Base de Datos'!D63:AB63,PCA!$C$4:$C$28)</f>
        <v>1.1422744192698266</v>
      </c>
      <c r="D64" cm="1">
        <f t="array" ref="D64">MMULT('Base de Datos'!D63:AB63,PCA!$D$4:$D$28)</f>
        <v>-9.4802722549863585</v>
      </c>
      <c r="E64" cm="1">
        <f t="array" ref="E64">MMULT('Base de Datos'!D63:AB63,PCA!$E$4:$E$28)</f>
        <v>1.3525831850665972</v>
      </c>
      <c r="F64" cm="1">
        <f t="array" ref="F64">MMULT('Base de Datos'!D63:AB63,PCA!$F$4:$F$28)</f>
        <v>-0.67120792560025988</v>
      </c>
      <c r="G64" cm="1">
        <f t="array" ref="G64">MMULT('Base de Datos'!D63:AB63,PCA!$G$4:$G$28)</f>
        <v>-2.7210801420179398</v>
      </c>
    </row>
    <row r="65" spans="1:7">
      <c r="A65" t="s">
        <v>114</v>
      </c>
      <c r="B65" cm="1">
        <f t="array" ref="B65">MMULT('Base de Datos'!D64:AB64,PCA!$B$4:$B$28)</f>
        <v>-8.8505285941657927</v>
      </c>
      <c r="C65" cm="1">
        <f t="array" ref="C65">MMULT('Base de Datos'!D64:AB64,PCA!$C$4:$C$28)</f>
        <v>5.2153489206750994</v>
      </c>
      <c r="D65" cm="1">
        <f t="array" ref="D65">MMULT('Base de Datos'!D64:AB64,PCA!$D$4:$D$28)</f>
        <v>-22.2299082342325</v>
      </c>
      <c r="E65" cm="1">
        <f t="array" ref="E65">MMULT('Base de Datos'!D64:AB64,PCA!$E$4:$E$28)</f>
        <v>7.3846703872699843E-2</v>
      </c>
      <c r="F65" cm="1">
        <f t="array" ref="F65">MMULT('Base de Datos'!D64:AB64,PCA!$F$4:$F$28)</f>
        <v>-3.7797467245091219</v>
      </c>
      <c r="G65" cm="1">
        <f t="array" ref="G65">MMULT('Base de Datos'!D64:AB64,PCA!$G$4:$G$28)</f>
        <v>-4.673548273882699</v>
      </c>
    </row>
    <row r="66" spans="1:7">
      <c r="A66" s="8" t="s">
        <v>145</v>
      </c>
      <c r="B66" cm="1">
        <f t="array" ref="B66">MMULT('Base de Datos'!D65:AB65,PCA!$B$4:$B$28)</f>
        <v>-5.3637986601077818</v>
      </c>
      <c r="C66" cm="1">
        <f t="array" ref="C66">MMULT('Base de Datos'!D65:AB65,PCA!$C$4:$C$28)</f>
        <v>2.285122764468364</v>
      </c>
      <c r="D66" cm="1">
        <f t="array" ref="D66">MMULT('Base de Datos'!D65:AB65,PCA!$D$4:$D$28)</f>
        <v>-11.838951187364364</v>
      </c>
      <c r="E66" cm="1">
        <f t="array" ref="E66">MMULT('Base de Datos'!D65:AB65,PCA!$E$4:$E$28)</f>
        <v>1.0577552590506716</v>
      </c>
      <c r="F66" cm="1">
        <f t="array" ref="F66">MMULT('Base de Datos'!D65:AB65,PCA!$F$4:$F$28)</f>
        <v>-1.4207736693988209</v>
      </c>
      <c r="G66" cm="1">
        <f t="array" ref="G66">MMULT('Base de Datos'!D65:AB65,PCA!$G$4:$G$28)</f>
        <v>-3.1888212489922747</v>
      </c>
    </row>
    <row r="67" spans="1:7">
      <c r="A67" t="s">
        <v>115</v>
      </c>
      <c r="B67" cm="1">
        <f t="array" ref="B67">MMULT('Base de Datos'!D66:AB66,PCA!$B$4:$B$28)</f>
        <v>-54.622657796089037</v>
      </c>
      <c r="C67" cm="1">
        <f t="array" ref="C67">MMULT('Base de Datos'!D66:AB66,PCA!$C$4:$C$28)</f>
        <v>39.684032243658415</v>
      </c>
      <c r="D67" cm="1">
        <f t="array" ref="D67">MMULT('Base de Datos'!D66:AB66,PCA!$D$4:$D$28)</f>
        <v>-139.05040452273295</v>
      </c>
      <c r="E67" cm="1">
        <f t="array" ref="E67">MMULT('Base de Datos'!D66:AB66,PCA!$E$4:$E$28)</f>
        <v>-5.721794771355551</v>
      </c>
      <c r="F67" cm="1">
        <f t="array" ref="F67">MMULT('Base de Datos'!D66:AB66,PCA!$F$4:$F$28)</f>
        <v>-32.188519379741919</v>
      </c>
      <c r="G67" cm="1">
        <f t="array" ref="G67">MMULT('Base de Datos'!D66:AB66,PCA!$G$4:$G$28)</f>
        <v>-31.353594709057539</v>
      </c>
    </row>
    <row r="68" spans="1:7">
      <c r="A68" t="s">
        <v>116</v>
      </c>
      <c r="B68" cm="1">
        <f t="array" ref="B68">MMULT('Base de Datos'!D67:AB67,PCA!$B$4:$B$28)</f>
        <v>-8.3540079882756295</v>
      </c>
      <c r="C68" cm="1">
        <f t="array" ref="C68">MMULT('Base de Datos'!D67:AB67,PCA!$C$4:$C$28)</f>
        <v>4.2617462726790594</v>
      </c>
      <c r="D68" cm="1">
        <f t="array" ref="D68">MMULT('Base de Datos'!D67:AB67,PCA!$D$4:$D$28)</f>
        <v>-19.464403216821001</v>
      </c>
      <c r="E68" cm="1">
        <f t="array" ref="E68">MMULT('Base de Datos'!D67:AB67,PCA!$E$4:$E$28)</f>
        <v>0.99931544387560478</v>
      </c>
      <c r="F68" cm="1">
        <f t="array" ref="F68">MMULT('Base de Datos'!D67:AB67,PCA!$F$4:$F$28)</f>
        <v>-3.1851701708088158</v>
      </c>
      <c r="G68" cm="1">
        <f t="array" ref="G68">MMULT('Base de Datos'!D67:AB67,PCA!$G$4:$G$28)</f>
        <v>-4.509591608498849</v>
      </c>
    </row>
    <row r="69" spans="1:7">
      <c r="A69" t="s">
        <v>150</v>
      </c>
      <c r="B69" cm="1">
        <f t="array" ref="B69">MMULT('Base de Datos'!D68:AB68,PCA!$B$4:$B$28)</f>
        <v>-26.289275880980625</v>
      </c>
      <c r="C69" cm="1">
        <f t="array" ref="C69">MMULT('Base de Datos'!D68:AB68,PCA!$C$4:$C$28)</f>
        <v>19.451261346107948</v>
      </c>
      <c r="D69" cm="1">
        <f t="array" ref="D69">MMULT('Base de Datos'!D68:AB68,PCA!$D$4:$D$28)</f>
        <v>-58.210256884924696</v>
      </c>
      <c r="E69" cm="1">
        <f t="array" ref="E69">MMULT('Base de Datos'!D68:AB68,PCA!$E$4:$E$28)</f>
        <v>8.6710183036628905</v>
      </c>
      <c r="F69" cm="1">
        <f t="array" ref="F69">MMULT('Base de Datos'!D68:AB68,PCA!$F$4:$F$28)</f>
        <v>-10.077631219066264</v>
      </c>
      <c r="G69" cm="1">
        <f t="array" ref="G69">MMULT('Base de Datos'!D68:AB68,PCA!$G$4:$G$28)</f>
        <v>-14.579438371513517</v>
      </c>
    </row>
    <row r="70" spans="1:7">
      <c r="A70" t="s">
        <v>146</v>
      </c>
      <c r="B70" cm="1">
        <f t="array" ref="B70">MMULT('Base de Datos'!D69:AB69,PCA!$B$4:$B$28)</f>
        <v>-1.6518773069861621</v>
      </c>
      <c r="C70" cm="1">
        <f t="array" ref="C70">MMULT('Base de Datos'!D69:AB69,PCA!$C$4:$C$28)</f>
        <v>5.4935529722837842E-2</v>
      </c>
      <c r="D70" cm="1">
        <f t="array" ref="D70">MMULT('Base de Datos'!D69:AB69,PCA!$D$4:$D$28)</f>
        <v>-6.3598325141266541</v>
      </c>
      <c r="E70" cm="1">
        <f t="array" ref="E70">MMULT('Base de Datos'!D69:AB69,PCA!$E$4:$E$28)</f>
        <v>-0.43781561578225892</v>
      </c>
      <c r="F70" cm="1">
        <f t="array" ref="F70">MMULT('Base de Datos'!D69:AB69,PCA!$F$4:$F$28)</f>
        <v>0.37018101982698592</v>
      </c>
      <c r="G70" cm="1">
        <f t="array" ref="G70">MMULT('Base de Datos'!D69:AB69,PCA!$G$4:$G$28)</f>
        <v>-0.3125498257070729</v>
      </c>
    </row>
    <row r="71" spans="1:7">
      <c r="A71" t="s">
        <v>151</v>
      </c>
      <c r="B71" cm="1">
        <f t="array" ref="B71">MMULT('Base de Datos'!D70:AB70,PCA!$B$4:$B$28)</f>
        <v>-3.518496630025628</v>
      </c>
      <c r="C71" cm="1">
        <f t="array" ref="C71">MMULT('Base de Datos'!D70:AB70,PCA!$C$4:$C$28)</f>
        <v>2.6321209401815073</v>
      </c>
      <c r="D71" cm="1">
        <f t="array" ref="D71">MMULT('Base de Datos'!D70:AB70,PCA!$D$4:$D$28)</f>
        <v>-7.7399374632188369</v>
      </c>
      <c r="E71" cm="1">
        <f t="array" ref="E71">MMULT('Base de Datos'!D70:AB70,PCA!$E$4:$E$28)</f>
        <v>0.62413692208840099</v>
      </c>
      <c r="F71" cm="1">
        <f t="array" ref="F71">MMULT('Base de Datos'!D70:AB70,PCA!$F$4:$F$28)</f>
        <v>-1.4897439365983263E-2</v>
      </c>
      <c r="G71" cm="1">
        <f t="array" ref="G71">MMULT('Base de Datos'!D70:AB70,PCA!$G$4:$G$28)</f>
        <v>-1.3951357456829996</v>
      </c>
    </row>
    <row r="72" spans="1:7">
      <c r="A72" t="s">
        <v>147</v>
      </c>
      <c r="B72" cm="1">
        <f t="array" ref="B72">MMULT('Base de Datos'!D71:AB71,PCA!$B$4:$B$28)</f>
        <v>5.7793984629885546</v>
      </c>
      <c r="C72" cm="1">
        <f t="array" ref="C72">MMULT('Base de Datos'!D71:AB71,PCA!$C$4:$C$28)</f>
        <v>-6.9177399585401611</v>
      </c>
      <c r="D72" cm="1">
        <f t="array" ref="D72">MMULT('Base de Datos'!D71:AB71,PCA!$D$4:$D$28)</f>
        <v>25.220467462920791</v>
      </c>
      <c r="E72" cm="1">
        <f t="array" ref="E72">MMULT('Base de Datos'!D71:AB71,PCA!$E$4:$E$28)</f>
        <v>10.404200301712043</v>
      </c>
      <c r="F72" cm="1">
        <f t="array" ref="F72">MMULT('Base de Datos'!D71:AB71,PCA!$F$4:$F$28)</f>
        <v>8.4469956321495676</v>
      </c>
      <c r="G72" cm="1">
        <f t="array" ref="G72">MMULT('Base de Datos'!D71:AB71,PCA!$G$4:$G$28)</f>
        <v>2.0538482750580833</v>
      </c>
    </row>
    <row r="73" spans="1:7">
      <c r="A73" s="3" t="s">
        <v>220</v>
      </c>
      <c r="B73" cm="1">
        <f t="array" ref="B73">MMULT('Base de Datos'!D72:AB72,PCA!$B$4:$B$28)</f>
        <v>10.359369018561782</v>
      </c>
      <c r="C73" cm="1">
        <f t="array" ref="C73">MMULT('Base de Datos'!D72:AB72,PCA!$C$4:$C$28)</f>
        <v>-9.5546018701773345</v>
      </c>
      <c r="D73" cm="1">
        <f t="array" ref="D73">MMULT('Base de Datos'!D72:AB72,PCA!$D$4:$D$28)</f>
        <v>31.335984600303206</v>
      </c>
      <c r="E73" cm="1">
        <f t="array" ref="E73">MMULT('Base de Datos'!D72:AB72,PCA!$E$4:$E$28)</f>
        <v>2.7827870291073449</v>
      </c>
      <c r="F73" cm="1">
        <f t="array" ref="F73">MMULT('Base de Datos'!D72:AB72,PCA!$F$4:$F$28)</f>
        <v>9.8535898128507444</v>
      </c>
      <c r="G73" cm="1">
        <f t="array" ref="G73">MMULT('Base de Datos'!D72:AB72,PCA!$G$4:$G$28)</f>
        <v>6.1672929008972464</v>
      </c>
    </row>
    <row r="74" spans="1:7">
      <c r="A74" s="2" t="s">
        <v>69</v>
      </c>
      <c r="B74" cm="1">
        <f t="array" ref="B74">MMULT('Base de Datos'!D73:AB73,PCA!$B$4:$B$28)</f>
        <v>-106.03936685298291</v>
      </c>
      <c r="C74" cm="1">
        <f t="array" ref="C74">MMULT('Base de Datos'!D73:AB73,PCA!$C$4:$C$28)</f>
        <v>73.70107689376124</v>
      </c>
      <c r="D74" cm="1">
        <f t="array" ref="D74">MMULT('Base de Datos'!D73:AB73,PCA!$D$4:$D$28)</f>
        <v>-258.37987801959258</v>
      </c>
      <c r="E74" cm="1">
        <f t="array" ref="E74">MMULT('Base de Datos'!D73:AB73,PCA!$E$4:$E$28)</f>
        <v>-4.2728617779301263</v>
      </c>
      <c r="F74" cm="1">
        <f t="array" ref="F74">MMULT('Base de Datos'!D73:AB73,PCA!$F$4:$F$28)</f>
        <v>-59.703505955197834</v>
      </c>
      <c r="G74" cm="1">
        <f t="array" ref="G74">MMULT('Base de Datos'!D73:AB73,PCA!$G$4:$G$28)</f>
        <v>-63.754597821152004</v>
      </c>
    </row>
    <row r="75" spans="1:7">
      <c r="A75" t="s">
        <v>97</v>
      </c>
      <c r="B75" cm="1">
        <f t="array" ref="B75">MMULT('Base de Datos'!D74:AB74,PCA!$B$4:$B$28)</f>
        <v>-5.8345757362231199</v>
      </c>
      <c r="C75" cm="1">
        <f t="array" ref="C75">MMULT('Base de Datos'!D74:AB74,PCA!$C$4:$C$28)</f>
        <v>3.6799050029385083</v>
      </c>
      <c r="D75" cm="1">
        <f t="array" ref="D75">MMULT('Base de Datos'!D74:AB74,PCA!$D$4:$D$28)</f>
        <v>-12.985757477035728</v>
      </c>
      <c r="E75" cm="1">
        <f t="array" ref="E75">MMULT('Base de Datos'!D74:AB74,PCA!$E$4:$E$28)</f>
        <v>0.68964714875088451</v>
      </c>
      <c r="F75" cm="1">
        <f t="array" ref="F75">MMULT('Base de Datos'!D74:AB74,PCA!$F$4:$F$28)</f>
        <v>-1.1133292008700746</v>
      </c>
      <c r="G75" cm="1">
        <f t="array" ref="G75">MMULT('Base de Datos'!D74:AB74,PCA!$G$4:$G$28)</f>
        <v>-3.2240366881856164</v>
      </c>
    </row>
    <row r="76" spans="1:7">
      <c r="A76" t="s">
        <v>98</v>
      </c>
      <c r="B76" cm="1">
        <f t="array" ref="B76">MMULT('Base de Datos'!D75:AB75,PCA!$B$4:$B$28)</f>
        <v>-8.6598032770164171</v>
      </c>
      <c r="C76" cm="1">
        <f t="array" ref="C76">MMULT('Base de Datos'!D75:AB75,PCA!$C$4:$C$28)</f>
        <v>6.9867869564215415</v>
      </c>
      <c r="D76" cm="1">
        <f t="array" ref="D76">MMULT('Base de Datos'!D75:AB75,PCA!$D$4:$D$28)</f>
        <v>-13.728723301262164</v>
      </c>
      <c r="E76" cm="1">
        <f t="array" ref="E76">MMULT('Base de Datos'!D75:AB75,PCA!$E$4:$E$28)</f>
        <v>-2.1718189100290255</v>
      </c>
      <c r="F76" cm="1">
        <f t="array" ref="F76">MMULT('Base de Datos'!D75:AB75,PCA!$F$4:$F$28)</f>
        <v>3.1074471445883276</v>
      </c>
      <c r="G76" cm="1">
        <f t="array" ref="G76">MMULT('Base de Datos'!D75:AB75,PCA!$G$4:$G$28)</f>
        <v>-2.9386153016616681</v>
      </c>
    </row>
    <row r="77" spans="1:7">
      <c r="A77" t="s">
        <v>70</v>
      </c>
      <c r="B77" cm="1">
        <f t="array" ref="B77">MMULT('Base de Datos'!D76:AB76,PCA!$B$4:$B$28)</f>
        <v>-14.320924845142484</v>
      </c>
      <c r="C77" cm="1">
        <f t="array" ref="C77">MMULT('Base de Datos'!D76:AB76,PCA!$C$4:$C$28)</f>
        <v>7.4774860552832614</v>
      </c>
      <c r="D77" cm="1">
        <f t="array" ref="D77">MMULT('Base de Datos'!D76:AB76,PCA!$D$4:$D$28)</f>
        <v>-19.313407042276296</v>
      </c>
      <c r="E77" cm="1">
        <f t="array" ref="E77">MMULT('Base de Datos'!D76:AB76,PCA!$E$4:$E$28)</f>
        <v>7.9651991481203028</v>
      </c>
      <c r="F77" cm="1">
        <f t="array" ref="F77">MMULT('Base de Datos'!D76:AB76,PCA!$F$4:$F$28)</f>
        <v>0.85334372774647738</v>
      </c>
      <c r="G77" cm="1">
        <f t="array" ref="G77">MMULT('Base de Datos'!D76:AB76,PCA!$G$4:$G$28)</f>
        <v>-8.3320297247117345</v>
      </c>
    </row>
    <row r="78" spans="1:7">
      <c r="A78" t="s">
        <v>152</v>
      </c>
      <c r="B78" cm="1">
        <f t="array" ref="B78">MMULT('Base de Datos'!D77:AB77,PCA!$B$4:$B$28)</f>
        <v>-173.2611387947606</v>
      </c>
      <c r="C78" cm="1">
        <f t="array" ref="C78">MMULT('Base de Datos'!D77:AB77,PCA!$C$4:$C$28)</f>
        <v>123.5817683472546</v>
      </c>
      <c r="D78" cm="1">
        <f t="array" ref="D78">MMULT('Base de Datos'!D77:AB77,PCA!$D$4:$D$28)</f>
        <v>-423.62911564139642</v>
      </c>
      <c r="E78" cm="1">
        <f t="array" ref="E78">MMULT('Base de Datos'!D77:AB77,PCA!$E$4:$E$28)</f>
        <v>-6.3384507879698688</v>
      </c>
      <c r="F78" cm="1">
        <f t="array" ref="F78">MMULT('Base de Datos'!D77:AB77,PCA!$F$4:$F$28)</f>
        <v>-97.566999279714565</v>
      </c>
      <c r="G78" cm="1">
        <f t="array" ref="G78">MMULT('Base de Datos'!D77:AB77,PCA!$G$4:$G$28)</f>
        <v>-104.21390975786267</v>
      </c>
    </row>
    <row r="79" spans="1:7">
      <c r="A79" t="s">
        <v>72</v>
      </c>
      <c r="B79" cm="1">
        <f t="array" ref="B79">MMULT('Base de Datos'!D78:AB78,PCA!$B$4:$B$28)</f>
        <v>1.5294455519346672</v>
      </c>
      <c r="C79" cm="1">
        <f t="array" ref="C79">MMULT('Base de Datos'!D78:AB78,PCA!$C$4:$C$28)</f>
        <v>-1.3989488969319683</v>
      </c>
      <c r="D79" cm="1">
        <f t="array" ref="D79">MMULT('Base de Datos'!D78:AB78,PCA!$D$4:$D$28)</f>
        <v>3.0345928721230058</v>
      </c>
      <c r="E79" cm="1">
        <f t="array" ref="E79">MMULT('Base de Datos'!D78:AB78,PCA!$E$4:$E$28)</f>
        <v>-5.8624057736635385E-2</v>
      </c>
      <c r="F79" cm="1">
        <f t="array" ref="F79">MMULT('Base de Datos'!D78:AB78,PCA!$F$4:$F$28)</f>
        <v>2.2287847877540976</v>
      </c>
      <c r="G79" cm="1">
        <f t="array" ref="G79">MMULT('Base de Datos'!D78:AB78,PCA!$G$4:$G$28)</f>
        <v>0.32453929784706431</v>
      </c>
    </row>
    <row r="80" spans="1:7">
      <c r="A80" t="s">
        <v>73</v>
      </c>
      <c r="B80" cm="1">
        <f t="array" ref="B80">MMULT('Base de Datos'!D79:AB79,PCA!$B$4:$B$28)</f>
        <v>-12.76079392583258</v>
      </c>
      <c r="C80" cm="1">
        <f t="array" ref="C80">MMULT('Base de Datos'!D79:AB79,PCA!$C$4:$C$28)</f>
        <v>6.4224280562766385</v>
      </c>
      <c r="D80" cm="1">
        <f t="array" ref="D80">MMULT('Base de Datos'!D79:AB79,PCA!$D$4:$D$28)</f>
        <v>-19.323486216831746</v>
      </c>
      <c r="E80" cm="1">
        <f t="array" ref="E80">MMULT('Base de Datos'!D79:AB79,PCA!$E$4:$E$28)</f>
        <v>7.8046642521674352</v>
      </c>
      <c r="F80" cm="1">
        <f t="array" ref="F80">MMULT('Base de Datos'!D79:AB79,PCA!$F$4:$F$28)</f>
        <v>-0.92956568910135207</v>
      </c>
      <c r="G80" cm="1">
        <f t="array" ref="G80">MMULT('Base de Datos'!D79:AB79,PCA!$G$4:$G$28)</f>
        <v>-7.5367799290553554</v>
      </c>
    </row>
    <row r="81" spans="1:7">
      <c r="A81" t="s">
        <v>95</v>
      </c>
      <c r="B81" cm="1">
        <f t="array" ref="B81">MMULT('Base de Datos'!D80:AB80,PCA!$B$4:$B$28)</f>
        <v>-4.9597827837037318</v>
      </c>
      <c r="C81" cm="1">
        <f t="array" ref="C81">MMULT('Base de Datos'!D80:AB80,PCA!$C$4:$C$28)</f>
        <v>5.0159102188497036</v>
      </c>
      <c r="D81" cm="1">
        <f t="array" ref="D81">MMULT('Base de Datos'!D80:AB80,PCA!$D$4:$D$28)</f>
        <v>-7.2611902269776767</v>
      </c>
      <c r="E81" cm="1">
        <f t="array" ref="E81">MMULT('Base de Datos'!D80:AB80,PCA!$E$4:$E$28)</f>
        <v>-1.9043069268781128</v>
      </c>
      <c r="F81" cm="1">
        <f t="array" ref="F81">MMULT('Base de Datos'!D80:AB80,PCA!$F$4:$F$28)</f>
        <v>2.9750444334701864</v>
      </c>
      <c r="G81" cm="1">
        <f t="array" ref="G81">MMULT('Base de Datos'!D80:AB80,PCA!$G$4:$G$28)</f>
        <v>-0.90312335214257711</v>
      </c>
    </row>
    <row r="82" spans="1:7">
      <c r="A82" t="s">
        <v>206</v>
      </c>
      <c r="B82" cm="1">
        <f t="array" ref="B82">MMULT('Base de Datos'!D81:AB81,PCA!$B$4:$B$28)</f>
        <v>33.140199346211219</v>
      </c>
      <c r="C82" cm="1">
        <f t="array" ref="C82">MMULT('Base de Datos'!D81:AB81,PCA!$C$4:$C$28)</f>
        <v>-25.852794124697922</v>
      </c>
      <c r="D82" cm="1">
        <f t="array" ref="D82">MMULT('Base de Datos'!D81:AB81,PCA!$D$4:$D$28)</f>
        <v>87.173727855917534</v>
      </c>
      <c r="E82" cm="1">
        <f t="array" ref="E82">MMULT('Base de Datos'!D81:AB81,PCA!$E$4:$E$28)</f>
        <v>5.8196961493916053</v>
      </c>
      <c r="F82" cm="1">
        <f t="array" ref="F82">MMULT('Base de Datos'!D81:AB81,PCA!$F$4:$F$28)</f>
        <v>22.934182961090801</v>
      </c>
      <c r="G82" cm="1">
        <f t="array" ref="G82">MMULT('Base de Datos'!D81:AB81,PCA!$G$4:$G$28)</f>
        <v>19.213759099863484</v>
      </c>
    </row>
    <row r="83" spans="1:7">
      <c r="A83" s="3" t="s">
        <v>96</v>
      </c>
      <c r="B83" cm="1">
        <f t="array" ref="B83">MMULT('Base de Datos'!D82:AB82,PCA!$B$4:$B$28)</f>
        <v>9.8592906351953378</v>
      </c>
      <c r="C83" cm="1">
        <f t="array" ref="C83">MMULT('Base de Datos'!D82:AB82,PCA!$C$4:$C$28)</f>
        <v>-9.2869241089586758</v>
      </c>
      <c r="D83" cm="1">
        <f t="array" ref="D83">MMULT('Base de Datos'!D82:AB82,PCA!$D$4:$D$28)</f>
        <v>30.06921907933728</v>
      </c>
      <c r="E83" cm="1">
        <f t="array" ref="E83">MMULT('Base de Datos'!D82:AB82,PCA!$E$4:$E$28)</f>
        <v>4.7773111425552894</v>
      </c>
      <c r="F83" cm="1">
        <f t="array" ref="F83">MMULT('Base de Datos'!D82:AB82,PCA!$F$4:$F$28)</f>
        <v>9.5670920697936594</v>
      </c>
      <c r="G83" cm="1">
        <f t="array" ref="G83">MMULT('Base de Datos'!D82:AB82,PCA!$G$4:$G$28)</f>
        <v>5.1579979102853795</v>
      </c>
    </row>
    <row r="84" spans="1:7">
      <c r="A84" s="2" t="s">
        <v>202</v>
      </c>
      <c r="B84" cm="1">
        <f t="array" ref="B84">MMULT('Base de Datos'!D83:AB83,PCA!$B$4:$B$28)</f>
        <v>-7.8797289659662439</v>
      </c>
      <c r="C84" cm="1">
        <f t="array" ref="C84">MMULT('Base de Datos'!D83:AB83,PCA!$C$4:$C$28)</f>
        <v>3.294666387043891</v>
      </c>
      <c r="D84" cm="1">
        <f t="array" ref="D84">MMULT('Base de Datos'!D83:AB83,PCA!$D$4:$D$28)</f>
        <v>-18.182157726383988</v>
      </c>
      <c r="E84" cm="1">
        <f t="array" ref="E84">MMULT('Base de Datos'!D83:AB83,PCA!$E$4:$E$28)</f>
        <v>1.7880156534322269</v>
      </c>
      <c r="F84" cm="1">
        <f t="array" ref="F84">MMULT('Base de Datos'!D83:AB83,PCA!$F$4:$F$28)</f>
        <v>-2.4708862004413268</v>
      </c>
      <c r="G84" cm="1">
        <f t="array" ref="G84">MMULT('Base de Datos'!D83:AB83,PCA!$G$4:$G$28)</f>
        <v>-4.0104515115339181</v>
      </c>
    </row>
    <row r="85" spans="1:7">
      <c r="A85" t="s">
        <v>203</v>
      </c>
      <c r="B85" cm="1">
        <f t="array" ref="B85">MMULT('Base de Datos'!D84:AB84,PCA!$B$4:$B$28)</f>
        <v>-5.4487854253107564</v>
      </c>
      <c r="C85" cm="1">
        <f t="array" ref="C85">MMULT('Base de Datos'!D84:AB84,PCA!$C$4:$C$28)</f>
        <v>1.7079735942299015</v>
      </c>
      <c r="D85" cm="1">
        <f t="array" ref="D85">MMULT('Base de Datos'!D84:AB84,PCA!$D$4:$D$28)</f>
        <v>-10.255690465211273</v>
      </c>
      <c r="E85" cm="1">
        <f t="array" ref="E85">MMULT('Base de Datos'!D84:AB84,PCA!$E$4:$E$28)</f>
        <v>2.9665106423415737</v>
      </c>
      <c r="F85" cm="1">
        <f t="array" ref="F85">MMULT('Base de Datos'!D84:AB84,PCA!$F$4:$F$28)</f>
        <v>-0.34886680964869582</v>
      </c>
      <c r="G85" cm="1">
        <f t="array" ref="G85">MMULT('Base de Datos'!D84:AB84,PCA!$G$4:$G$28)</f>
        <v>-3.4542527154016032</v>
      </c>
    </row>
    <row r="86" spans="1:7">
      <c r="A86" s="8" t="s">
        <v>153</v>
      </c>
      <c r="B86" cm="1">
        <f t="array" ref="B86">MMULT('Base de Datos'!D85:AB85,PCA!$B$4:$B$28)</f>
        <v>0.66332233847109356</v>
      </c>
      <c r="C86" cm="1">
        <f t="array" ref="C86">MMULT('Base de Datos'!D85:AB85,PCA!$C$4:$C$28)</f>
        <v>-3.0316920284139504</v>
      </c>
      <c r="D86" cm="1">
        <f t="array" ref="D86">MMULT('Base de Datos'!D85:AB85,PCA!$D$4:$D$28)</f>
        <v>4.8812210591605849</v>
      </c>
      <c r="E86" cm="1">
        <f t="array" ref="E86">MMULT('Base de Datos'!D85:AB85,PCA!$E$4:$E$28)</f>
        <v>3.7925753712536316</v>
      </c>
      <c r="F86" cm="1">
        <f t="array" ref="F86">MMULT('Base de Datos'!D85:AB85,PCA!$F$4:$F$28)</f>
        <v>2.4934899525651484</v>
      </c>
      <c r="G86" cm="1">
        <f t="array" ref="G86">MMULT('Base de Datos'!D85:AB85,PCA!$G$4:$G$28)</f>
        <v>0.36897833707070216</v>
      </c>
    </row>
    <row r="87" spans="1:7">
      <c r="A87" t="s">
        <v>154</v>
      </c>
      <c r="B87" cm="1">
        <f t="array" ref="B87">MMULT('Base de Datos'!D86:AB86,PCA!$B$4:$B$28)</f>
        <v>-6.941668422421909</v>
      </c>
      <c r="C87" cm="1">
        <f t="array" ref="C87">MMULT('Base de Datos'!D86:AB86,PCA!$C$4:$C$28)</f>
        <v>2.4820481255644218</v>
      </c>
      <c r="D87" cm="1">
        <f t="array" ref="D87">MMULT('Base de Datos'!D86:AB86,PCA!$D$4:$D$28)</f>
        <v>-14.504813112760422</v>
      </c>
      <c r="E87" cm="1">
        <f t="array" ref="E87">MMULT('Base de Datos'!D86:AB86,PCA!$E$4:$E$28)</f>
        <v>2.8582886022895377</v>
      </c>
      <c r="F87" cm="1">
        <f t="array" ref="F87">MMULT('Base de Datos'!D86:AB86,PCA!$F$4:$F$28)</f>
        <v>-1.4992505432002239</v>
      </c>
      <c r="G87" cm="1">
        <f t="array" ref="G87">MMULT('Base de Datos'!D86:AB86,PCA!$G$4:$G$28)</f>
        <v>-3.9814940154883138</v>
      </c>
    </row>
    <row r="88" spans="1:7">
      <c r="A88" t="s">
        <v>204</v>
      </c>
      <c r="B88" cm="1">
        <f t="array" ref="B88">MMULT('Base de Datos'!D87:AB87,PCA!$B$4:$B$28)</f>
        <v>-4.6003082290200217</v>
      </c>
      <c r="C88" cm="1">
        <f t="array" ref="C88">MMULT('Base de Datos'!D87:AB87,PCA!$C$4:$C$28)</f>
        <v>1.8151426145335521</v>
      </c>
      <c r="D88" cm="1">
        <f t="array" ref="D88">MMULT('Base de Datos'!D87:AB87,PCA!$D$4:$D$28)</f>
        <v>-9.1985485517928911</v>
      </c>
      <c r="E88" cm="1">
        <f t="array" ref="E88">MMULT('Base de Datos'!D87:AB87,PCA!$E$4:$E$28)</f>
        <v>0.55215780910909662</v>
      </c>
      <c r="F88" cm="1">
        <f t="array" ref="F88">MMULT('Base de Datos'!D87:AB87,PCA!$F$4:$F$28)</f>
        <v>4.2775415194267676E-2</v>
      </c>
      <c r="G88" cm="1">
        <f t="array" ref="G88">MMULT('Base de Datos'!D87:AB87,PCA!$G$4:$G$28)</f>
        <v>-2.3138111590524248</v>
      </c>
    </row>
    <row r="89" spans="1:7">
      <c r="A89" t="s">
        <v>118</v>
      </c>
      <c r="B89" cm="1">
        <f t="array" ref="B89">MMULT('Base de Datos'!D88:AB88,PCA!$B$4:$B$28)</f>
        <v>-6.4375057286368511</v>
      </c>
      <c r="C89" cm="1">
        <f t="array" ref="C89">MMULT('Base de Datos'!D88:AB88,PCA!$C$4:$C$28)</f>
        <v>2.2351934123410908</v>
      </c>
      <c r="D89" cm="1">
        <f t="array" ref="D89">MMULT('Base de Datos'!D88:AB88,PCA!$D$4:$D$28)</f>
        <v>-11.882806404409427</v>
      </c>
      <c r="E89" cm="1">
        <f t="array" ref="E89">MMULT('Base de Datos'!D88:AB88,PCA!$E$4:$E$28)</f>
        <v>1.8806519626629832</v>
      </c>
      <c r="F89" cm="1">
        <f t="array" ref="F89">MMULT('Base de Datos'!D88:AB88,PCA!$F$4:$F$28)</f>
        <v>-0.3594207236454755</v>
      </c>
      <c r="G89" cm="1">
        <f t="array" ref="G89">MMULT('Base de Datos'!D88:AB88,PCA!$G$4:$G$28)</f>
        <v>-3.6594977566622067</v>
      </c>
    </row>
    <row r="90" spans="1:7">
      <c r="A90" t="s">
        <v>119</v>
      </c>
      <c r="B90" cm="1">
        <f t="array" ref="B90">MMULT('Base de Datos'!D89:AB89,PCA!$B$4:$B$28)</f>
        <v>-8.4510229647194244</v>
      </c>
      <c r="C90" cm="1">
        <f t="array" ref="C90">MMULT('Base de Datos'!D89:AB89,PCA!$C$4:$C$28)</f>
        <v>3.3491644439586383</v>
      </c>
      <c r="D90" cm="1">
        <f t="array" ref="D90">MMULT('Base de Datos'!D89:AB89,PCA!$D$4:$D$28)</f>
        <v>-17.720765247902122</v>
      </c>
      <c r="E90" cm="1">
        <f t="array" ref="E90">MMULT('Base de Datos'!D89:AB89,PCA!$E$4:$E$28)</f>
        <v>2.9959225706500154</v>
      </c>
      <c r="F90" cm="1">
        <f t="array" ref="F90">MMULT('Base de Datos'!D89:AB89,PCA!$F$4:$F$28)</f>
        <v>-2.3988940718459704</v>
      </c>
      <c r="G90" cm="1">
        <f t="array" ref="G90">MMULT('Base de Datos'!D89:AB89,PCA!$G$4:$G$28)</f>
        <v>-4.686599243046726</v>
      </c>
    </row>
    <row r="91" spans="1:7">
      <c r="A91" t="s">
        <v>205</v>
      </c>
      <c r="B91" cm="1">
        <f t="array" ref="B91">MMULT('Base de Datos'!D90:AB90,PCA!$B$4:$B$28)</f>
        <v>-4.308664791570453</v>
      </c>
      <c r="C91" cm="1">
        <f t="array" ref="C91">MMULT('Base de Datos'!D90:AB90,PCA!$C$4:$C$28)</f>
        <v>0.71727787786519936</v>
      </c>
      <c r="D91" cm="1">
        <f t="array" ref="D91">MMULT('Base de Datos'!D90:AB90,PCA!$D$4:$D$28)</f>
        <v>-8.6102908310943267</v>
      </c>
      <c r="E91" cm="1">
        <f t="array" ref="E91">MMULT('Base de Datos'!D90:AB90,PCA!$E$4:$E$28)</f>
        <v>1.8144996408689968</v>
      </c>
      <c r="F91" cm="1">
        <f t="array" ref="F91">MMULT('Base de Datos'!D90:AB90,PCA!$F$4:$F$28)</f>
        <v>-0.22552611760260571</v>
      </c>
      <c r="G91" cm="1">
        <f t="array" ref="G91">MMULT('Base de Datos'!D90:AB90,PCA!$G$4:$G$28)</f>
        <v>-2.7934610921079503</v>
      </c>
    </row>
    <row r="92" spans="1:7">
      <c r="A92" t="s">
        <v>120</v>
      </c>
      <c r="B92" cm="1">
        <f t="array" ref="B92">MMULT('Base de Datos'!D91:AB91,PCA!$B$4:$B$28)</f>
        <v>-4.3907178667265745</v>
      </c>
      <c r="C92" cm="1">
        <f t="array" ref="C92">MMULT('Base de Datos'!D91:AB91,PCA!$C$4:$C$28)</f>
        <v>0.45997673210781675</v>
      </c>
      <c r="D92" cm="1">
        <f t="array" ref="D92">MMULT('Base de Datos'!D91:AB91,PCA!$D$4:$D$28)</f>
        <v>-5.8245306509786712</v>
      </c>
      <c r="E92" cm="1">
        <f t="array" ref="E92">MMULT('Base de Datos'!D91:AB91,PCA!$E$4:$E$28)</f>
        <v>4.3510134970221612</v>
      </c>
      <c r="F92" cm="1">
        <f t="array" ref="F92">MMULT('Base de Datos'!D91:AB91,PCA!$F$4:$F$28)</f>
        <v>0.92932804421584014</v>
      </c>
      <c r="G92" cm="1">
        <f t="array" ref="G92">MMULT('Base de Datos'!D91:AB91,PCA!$G$4:$G$28)</f>
        <v>-3.3022862139128817</v>
      </c>
    </row>
    <row r="93" spans="1:7">
      <c r="A93" s="3" t="s">
        <v>121</v>
      </c>
      <c r="B93" cm="1">
        <f t="array" ref="B93">MMULT('Base de Datos'!D92:AB92,PCA!$B$4:$B$28)</f>
        <v>-9.3109127454193406</v>
      </c>
      <c r="C93" cm="1">
        <f t="array" ref="C93">MMULT('Base de Datos'!D92:AB92,PCA!$C$4:$C$28)</f>
        <v>3.2829370474595132</v>
      </c>
      <c r="D93" cm="1">
        <f t="array" ref="D93">MMULT('Base de Datos'!D92:AB92,PCA!$D$4:$D$28)</f>
        <v>-18.141842654260405</v>
      </c>
      <c r="E93" cm="1">
        <f t="array" ref="E93">MMULT('Base de Datos'!D92:AB92,PCA!$E$4:$E$28)</f>
        <v>4.9083088156844044</v>
      </c>
      <c r="F93" cm="1">
        <f t="array" ref="F93">MMULT('Base de Datos'!D92:AB92,PCA!$F$4:$F$28)</f>
        <v>-2.5811863204625851</v>
      </c>
      <c r="G93" cm="1">
        <f t="array" ref="G93">MMULT('Base de Datos'!D92:AB92,PCA!$G$4:$G$28)</f>
        <v>-5.4548793713029893</v>
      </c>
    </row>
    <row r="94" spans="1:7">
      <c r="A94" s="2" t="s">
        <v>59</v>
      </c>
      <c r="B94" cm="1">
        <f t="array" ref="B94">MMULT('Base de Datos'!D93:AB93,PCA!$B$4:$B$28)</f>
        <v>-13.778274061629117</v>
      </c>
      <c r="C94" cm="1">
        <f t="array" ref="C94">MMULT('Base de Datos'!D93:AB93,PCA!$C$4:$C$28)</f>
        <v>5.1817732770916507</v>
      </c>
      <c r="D94" cm="1">
        <f t="array" ref="D94">MMULT('Base de Datos'!D93:AB93,PCA!$D$4:$D$28)</f>
        <v>-22.757054297059664</v>
      </c>
      <c r="E94" cm="1">
        <f t="array" ref="E94">MMULT('Base de Datos'!D93:AB93,PCA!$E$4:$E$28)</f>
        <v>5.0358755510614959</v>
      </c>
      <c r="F94" cm="1">
        <f t="array" ref="F94">MMULT('Base de Datos'!D93:AB93,PCA!$F$4:$F$28)</f>
        <v>-3.1361368581069113</v>
      </c>
      <c r="G94" cm="1">
        <f t="array" ref="G94">MMULT('Base de Datos'!D93:AB93,PCA!$G$4:$G$28)</f>
        <v>-9.9471214820139693</v>
      </c>
    </row>
    <row r="95" spans="1:7">
      <c r="A95" t="s">
        <v>60</v>
      </c>
      <c r="B95" cm="1">
        <f t="array" ref="B95">MMULT('Base de Datos'!D94:AB94,PCA!$B$4:$B$28)</f>
        <v>-37.637700650207208</v>
      </c>
      <c r="C95" cm="1">
        <f t="array" ref="C95">MMULT('Base de Datos'!D94:AB94,PCA!$C$4:$C$28)</f>
        <v>20.938187022128901</v>
      </c>
      <c r="D95" cm="1">
        <f t="array" ref="D95">MMULT('Base de Datos'!D94:AB94,PCA!$D$4:$D$28)</f>
        <v>-64.388493589750539</v>
      </c>
      <c r="E95" cm="1">
        <f t="array" ref="E95">MMULT('Base de Datos'!D94:AB94,PCA!$E$4:$E$28)</f>
        <v>19.877153212502108</v>
      </c>
      <c r="F95" cm="1">
        <f t="array" ref="F95">MMULT('Base de Datos'!D94:AB94,PCA!$F$4:$F$28)</f>
        <v>-10.468967250529436</v>
      </c>
      <c r="G95" cm="1">
        <f t="array" ref="G95">MMULT('Base de Datos'!D94:AB94,PCA!$G$4:$G$28)</f>
        <v>-25.101104475405183</v>
      </c>
    </row>
    <row r="96" spans="1:7">
      <c r="A96" s="8" t="s">
        <v>61</v>
      </c>
      <c r="B96" cm="1">
        <f t="array" ref="B96">MMULT('Base de Datos'!D95:AB95,PCA!$B$4:$B$28)</f>
        <v>-5.9547639668526378</v>
      </c>
      <c r="C96" cm="1">
        <f t="array" ref="C96">MMULT('Base de Datos'!D95:AB95,PCA!$C$4:$C$28)</f>
        <v>2.412005444943464</v>
      </c>
      <c r="D96" cm="1">
        <f t="array" ref="D96">MMULT('Base de Datos'!D95:AB95,PCA!$D$4:$D$28)</f>
        <v>-10.409326489683428</v>
      </c>
      <c r="E96" cm="1">
        <f t="array" ref="E96">MMULT('Base de Datos'!D95:AB95,PCA!$E$4:$E$28)</f>
        <v>3.5242925624026418</v>
      </c>
      <c r="F96" cm="1">
        <f t="array" ref="F96">MMULT('Base de Datos'!D95:AB95,PCA!$F$4:$F$28)</f>
        <v>-0.21630256120631838</v>
      </c>
      <c r="G96" cm="1">
        <f t="array" ref="G96">MMULT('Base de Datos'!D95:AB95,PCA!$G$4:$G$28)</f>
        <v>-2.7923685401007532</v>
      </c>
    </row>
    <row r="97" spans="1:7">
      <c r="A97" t="s">
        <v>67</v>
      </c>
      <c r="B97" cm="1">
        <f t="array" ref="B97">MMULT('Base de Datos'!D96:AB96,PCA!$B$4:$B$28)</f>
        <v>-8.8546254863225009</v>
      </c>
      <c r="C97" cm="1">
        <f t="array" ref="C97">MMULT('Base de Datos'!D96:AB96,PCA!$C$4:$C$28)</f>
        <v>4.4951687400612519</v>
      </c>
      <c r="D97" cm="1">
        <f t="array" ref="D97">MMULT('Base de Datos'!D96:AB96,PCA!$D$4:$D$28)</f>
        <v>-16.348055600334831</v>
      </c>
      <c r="E97" cm="1">
        <f t="array" ref="E97">MMULT('Base de Datos'!D96:AB96,PCA!$E$4:$E$28)</f>
        <v>1.6701660783026331</v>
      </c>
      <c r="F97" cm="1">
        <f t="array" ref="F97">MMULT('Base de Datos'!D96:AB96,PCA!$F$4:$F$28)</f>
        <v>-1.6502050421150665</v>
      </c>
      <c r="G97" cm="1">
        <f t="array" ref="G97">MMULT('Base de Datos'!D96:AB96,PCA!$G$4:$G$28)</f>
        <v>-4.9699065769839894</v>
      </c>
    </row>
    <row r="98" spans="1:7">
      <c r="A98" t="s">
        <v>62</v>
      </c>
      <c r="B98" cm="1">
        <f t="array" ref="B98">MMULT('Base de Datos'!D97:AB97,PCA!$B$4:$B$28)</f>
        <v>-17.315172298542368</v>
      </c>
      <c r="C98" cm="1">
        <f t="array" ref="C98">MMULT('Base de Datos'!D97:AB97,PCA!$C$4:$C$28)</f>
        <v>7.163385479030504</v>
      </c>
      <c r="D98" cm="1">
        <f t="array" ref="D98">MMULT('Base de Datos'!D97:AB97,PCA!$D$4:$D$28)</f>
        <v>-25.097250912698534</v>
      </c>
      <c r="E98" cm="1">
        <f t="array" ref="E98">MMULT('Base de Datos'!D97:AB97,PCA!$E$4:$E$28)</f>
        <v>12.333093852707037</v>
      </c>
      <c r="F98" cm="1">
        <f t="array" ref="F98">MMULT('Base de Datos'!D97:AB97,PCA!$F$4:$F$28)</f>
        <v>-3.1668526537660462</v>
      </c>
      <c r="G98" cm="1">
        <f t="array" ref="G98">MMULT('Base de Datos'!D97:AB97,PCA!$G$4:$G$28)</f>
        <v>-12.301033302473668</v>
      </c>
    </row>
    <row r="99" spans="1:7">
      <c r="A99" t="s">
        <v>63</v>
      </c>
      <c r="B99" cm="1">
        <f t="array" ref="B99">MMULT('Base de Datos'!D98:AB98,PCA!$B$4:$B$28)</f>
        <v>-14.717040305448826</v>
      </c>
      <c r="C99" cm="1">
        <f t="array" ref="C99">MMULT('Base de Datos'!D98:AB98,PCA!$C$4:$C$28)</f>
        <v>8.3860761886874151</v>
      </c>
      <c r="D99" cm="1">
        <f t="array" ref="D99">MMULT('Base de Datos'!D98:AB98,PCA!$D$4:$D$28)</f>
        <v>-24.593363837269429</v>
      </c>
      <c r="E99" cm="1">
        <f t="array" ref="E99">MMULT('Base de Datos'!D98:AB98,PCA!$E$4:$E$28)</f>
        <v>8.5840820770055135</v>
      </c>
      <c r="F99" cm="1">
        <f t="array" ref="F99">MMULT('Base de Datos'!D98:AB98,PCA!$F$4:$F$28)</f>
        <v>-3.1352501662084777</v>
      </c>
      <c r="G99" cm="1">
        <f t="array" ref="G99">MMULT('Base de Datos'!D98:AB98,PCA!$G$4:$G$28)</f>
        <v>-9.0254032100143142</v>
      </c>
    </row>
    <row r="100" spans="1:7">
      <c r="A100" t="s">
        <v>64</v>
      </c>
      <c r="B100" cm="1">
        <f t="array" ref="B100">MMULT('Base de Datos'!D99:AB99,PCA!$B$4:$B$28)</f>
        <v>-16.868794241696499</v>
      </c>
      <c r="C100" cm="1">
        <f t="array" ref="C100">MMULT('Base de Datos'!D99:AB99,PCA!$C$4:$C$28)</f>
        <v>10.133563418010095</v>
      </c>
      <c r="D100" cm="1">
        <f t="array" ref="D100">MMULT('Base de Datos'!D99:AB99,PCA!$D$4:$D$28)</f>
        <v>-25.308577970633237</v>
      </c>
      <c r="E100" cm="1">
        <f t="array" ref="E100">MMULT('Base de Datos'!D99:AB99,PCA!$E$4:$E$28)</f>
        <v>12.04674182247896</v>
      </c>
      <c r="F100" cm="1">
        <f t="array" ref="F100">MMULT('Base de Datos'!D99:AB99,PCA!$F$4:$F$28)</f>
        <v>-1.9062176812279115</v>
      </c>
      <c r="G100" cm="1">
        <f t="array" ref="G100">MMULT('Base de Datos'!D99:AB99,PCA!$G$4:$G$28)</f>
        <v>-10.31622984421338</v>
      </c>
    </row>
    <row r="101" spans="1:7">
      <c r="A101" t="s">
        <v>84</v>
      </c>
      <c r="B101" cm="1">
        <f t="array" ref="B101">MMULT('Base de Datos'!D100:AB100,PCA!$B$4:$B$28)</f>
        <v>-17.120657373048154</v>
      </c>
      <c r="C101" cm="1">
        <f t="array" ref="C101">MMULT('Base de Datos'!D100:AB100,PCA!$C$4:$C$28)</f>
        <v>9.282670342666739</v>
      </c>
      <c r="D101" cm="1">
        <f t="array" ref="D101">MMULT('Base de Datos'!D100:AB100,PCA!$D$4:$D$28)</f>
        <v>-35.857459483308602</v>
      </c>
      <c r="E101" cm="1">
        <f t="array" ref="E101">MMULT('Base de Datos'!D100:AB100,PCA!$E$4:$E$28)</f>
        <v>1.0254267336662668</v>
      </c>
      <c r="F101" cm="1">
        <f t="array" ref="F101">MMULT('Base de Datos'!D100:AB100,PCA!$F$4:$F$28)</f>
        <v>-7.0255814676114063</v>
      </c>
      <c r="G101" cm="1">
        <f t="array" ref="G101">MMULT('Base de Datos'!D100:AB100,PCA!$G$4:$G$28)</f>
        <v>-11.425747512857582</v>
      </c>
    </row>
    <row r="102" spans="1:7">
      <c r="A102" t="s">
        <v>66</v>
      </c>
      <c r="B102" cm="1">
        <f t="array" ref="B102">MMULT('Base de Datos'!D101:AB101,PCA!$B$4:$B$28)</f>
        <v>-16.165447408680748</v>
      </c>
      <c r="C102" cm="1">
        <f t="array" ref="C102">MMULT('Base de Datos'!D101:AB101,PCA!$C$4:$C$28)</f>
        <v>6.407848905442652</v>
      </c>
      <c r="D102" cm="1">
        <f t="array" ref="D102">MMULT('Base de Datos'!D101:AB101,PCA!$D$4:$D$28)</f>
        <v>-23.646703739368505</v>
      </c>
      <c r="E102" cm="1">
        <f t="array" ref="E102">MMULT('Base de Datos'!D101:AB101,PCA!$E$4:$E$28)</f>
        <v>11.191981287587401</v>
      </c>
      <c r="F102" cm="1">
        <f t="array" ref="F102">MMULT('Base de Datos'!D101:AB101,PCA!$F$4:$F$28)</f>
        <v>-2.6828148814279591</v>
      </c>
      <c r="G102" cm="1">
        <f t="array" ref="G102">MMULT('Base de Datos'!D101:AB101,PCA!$G$4:$G$28)</f>
        <v>-11.676393007530665</v>
      </c>
    </row>
    <row r="103" spans="1:7">
      <c r="A103" s="3" t="s">
        <v>65</v>
      </c>
      <c r="B103" cm="1">
        <f t="array" ref="B103">MMULT('Base de Datos'!D102:AB102,PCA!$B$4:$B$28)</f>
        <v>-22.642287683316908</v>
      </c>
      <c r="C103" cm="1">
        <f t="array" ref="C103">MMULT('Base de Datos'!D102:AB102,PCA!$C$4:$C$28)</f>
        <v>8.2238947985331894</v>
      </c>
      <c r="D103" cm="1">
        <f t="array" ref="D103">MMULT('Base de Datos'!D102:AB102,PCA!$D$4:$D$28)</f>
        <v>-31.051981024869935</v>
      </c>
      <c r="E103" cm="1">
        <f t="array" ref="E103">MMULT('Base de Datos'!D102:AB102,PCA!$E$4:$E$28)</f>
        <v>18.404609971992222</v>
      </c>
      <c r="F103" cm="1">
        <f t="array" ref="F103">MMULT('Base de Datos'!D102:AB102,PCA!$F$4:$F$28)</f>
        <v>-4.0015287496493208</v>
      </c>
      <c r="G103" cm="1">
        <f t="array" ref="G103">MMULT('Base de Datos'!D102:AB102,PCA!$G$4:$G$28)</f>
        <v>-16.639110203953479</v>
      </c>
    </row>
    <row r="104" spans="1:7">
      <c r="A104" s="2" t="s">
        <v>196</v>
      </c>
      <c r="B104" cm="1">
        <f t="array" ref="B104">MMULT('Base de Datos'!D103:AB103,PCA!$B$4:$B$28)</f>
        <v>0.2618690470342841</v>
      </c>
      <c r="C104" cm="1">
        <f t="array" ref="C104">MMULT('Base de Datos'!D103:AB103,PCA!$C$4:$C$28)</f>
        <v>0.58555101133494902</v>
      </c>
      <c r="D104" cm="1">
        <f t="array" ref="D104">MMULT('Base de Datos'!D103:AB103,PCA!$D$4:$D$28)</f>
        <v>-3.2702885406276012</v>
      </c>
      <c r="E104" cm="1">
        <f t="array" ref="E104">MMULT('Base de Datos'!D103:AB103,PCA!$E$4:$E$28)</f>
        <v>1.4477853020475908</v>
      </c>
      <c r="F104" cm="1">
        <f t="array" ref="F104">MMULT('Base de Datos'!D103:AB103,PCA!$F$4:$F$28)</f>
        <v>-0.42869342586380632</v>
      </c>
      <c r="G104" cm="1">
        <f t="array" ref="G104">MMULT('Base de Datos'!D103:AB103,PCA!$G$4:$G$28)</f>
        <v>-0.14758602901841286</v>
      </c>
    </row>
    <row r="105" spans="1:7">
      <c r="A105" t="s">
        <v>68</v>
      </c>
      <c r="B105" cm="1">
        <f t="array" ref="B105">MMULT('Base de Datos'!D104:AB104,PCA!$B$4:$B$28)</f>
        <v>-0.83099808094804251</v>
      </c>
      <c r="C105" cm="1">
        <f t="array" ref="C105">MMULT('Base de Datos'!D104:AB104,PCA!$C$4:$C$28)</f>
        <v>0.71321870338461035</v>
      </c>
      <c r="D105" cm="1">
        <f t="array" ref="D105">MMULT('Base de Datos'!D104:AB104,PCA!$D$4:$D$28)</f>
        <v>-1.5384058634300364</v>
      </c>
      <c r="E105" cm="1">
        <f t="array" ref="E105">MMULT('Base de Datos'!D104:AB104,PCA!$E$4:$E$28)</f>
        <v>4.2416611403483877</v>
      </c>
      <c r="F105" cm="1">
        <f t="array" ref="F105">MMULT('Base de Datos'!D104:AB104,PCA!$F$4:$F$28)</f>
        <v>-0.14787728393670771</v>
      </c>
      <c r="G105" cm="1">
        <f t="array" ref="G105">MMULT('Base de Datos'!D104:AB104,PCA!$G$4:$G$28)</f>
        <v>1.640795100040543</v>
      </c>
    </row>
    <row r="106" spans="1:7">
      <c r="A106" t="s">
        <v>155</v>
      </c>
      <c r="B106" cm="1">
        <f t="array" ref="B106">MMULT('Base de Datos'!D105:AB105,PCA!$B$4:$B$28)</f>
        <v>1.7477760465050816</v>
      </c>
      <c r="C106" cm="1">
        <f t="array" ref="C106">MMULT('Base de Datos'!D105:AB105,PCA!$C$4:$C$28)</f>
        <v>-1.3631604281065282</v>
      </c>
      <c r="D106" cm="1">
        <f t="array" ref="D106">MMULT('Base de Datos'!D105:AB105,PCA!$D$4:$D$28)</f>
        <v>5.1992864445416718</v>
      </c>
      <c r="E106" cm="1">
        <f t="array" ref="E106">MMULT('Base de Datos'!D105:AB105,PCA!$E$4:$E$28)</f>
        <v>2.5819781166995002</v>
      </c>
      <c r="F106" cm="1">
        <f t="array" ref="F106">MMULT('Base de Datos'!D105:AB105,PCA!$F$4:$F$28)</f>
        <v>2.8588913806551433</v>
      </c>
      <c r="G106" cm="1">
        <f t="array" ref="G106">MMULT('Base de Datos'!D105:AB105,PCA!$G$4:$G$28)</f>
        <v>0.26531116850214825</v>
      </c>
    </row>
    <row r="107" spans="1:7">
      <c r="A107" t="s">
        <v>160</v>
      </c>
      <c r="B107" cm="1">
        <f t="array" ref="B107">MMULT('Base de Datos'!D106:AB106,PCA!$B$4:$B$28)</f>
        <v>-2.3800406140586734</v>
      </c>
      <c r="C107" cm="1">
        <f t="array" ref="C107">MMULT('Base de Datos'!D106:AB106,PCA!$C$4:$C$28)</f>
        <v>0.2942852262360639</v>
      </c>
      <c r="D107" cm="1">
        <f t="array" ref="D107">MMULT('Base de Datos'!D106:AB106,PCA!$D$4:$D$28)</f>
        <v>1.2696631590718099E-2</v>
      </c>
      <c r="E107" cm="1">
        <f t="array" ref="E107">MMULT('Base de Datos'!D106:AB106,PCA!$E$4:$E$28)</f>
        <v>6.9359546420638329</v>
      </c>
      <c r="F107" cm="1">
        <f t="array" ref="F107">MMULT('Base de Datos'!D106:AB106,PCA!$F$4:$F$28)</f>
        <v>2.405596370290727</v>
      </c>
      <c r="G107" cm="1">
        <f t="array" ref="G107">MMULT('Base de Datos'!D106:AB106,PCA!$G$4:$G$28)</f>
        <v>-2.4780445420877908</v>
      </c>
    </row>
    <row r="108" spans="1:7">
      <c r="A108" t="s">
        <v>156</v>
      </c>
      <c r="B108" cm="1">
        <f t="array" ref="B108">MMULT('Base de Datos'!D107:AB107,PCA!$B$4:$B$28)</f>
        <v>0.74902448126025145</v>
      </c>
      <c r="C108" cm="1">
        <f t="array" ref="C108">MMULT('Base de Datos'!D107:AB107,PCA!$C$4:$C$28)</f>
        <v>-0.72968024623165895</v>
      </c>
      <c r="D108" cm="1">
        <f t="array" ref="D108">MMULT('Base de Datos'!D107:AB107,PCA!$D$4:$D$28)</f>
        <v>2.3488291296211807</v>
      </c>
      <c r="E108" cm="1">
        <f t="array" ref="E108">MMULT('Base de Datos'!D107:AB107,PCA!$E$4:$E$28)</f>
        <v>2.2535622542851868</v>
      </c>
      <c r="F108" cm="1">
        <f t="array" ref="F108">MMULT('Base de Datos'!D107:AB107,PCA!$F$4:$F$28)</f>
        <v>2.3232720072777435</v>
      </c>
      <c r="G108" cm="1">
        <f t="array" ref="G108">MMULT('Base de Datos'!D107:AB107,PCA!$G$4:$G$28)</f>
        <v>-0.10894916302667643</v>
      </c>
    </row>
    <row r="109" spans="1:7">
      <c r="A109" t="s">
        <v>157</v>
      </c>
      <c r="B109" cm="1">
        <f t="array" ref="B109">MMULT('Base de Datos'!D108:AB108,PCA!$B$4:$B$28)</f>
        <v>-119.41467144805132</v>
      </c>
      <c r="C109" cm="1">
        <f t="array" ref="C109">MMULT('Base de Datos'!D108:AB108,PCA!$C$4:$C$28)</f>
        <v>91.017413664203701</v>
      </c>
      <c r="D109" cm="1">
        <f t="array" ref="D109">MMULT('Base de Datos'!D108:AB108,PCA!$D$4:$D$28)</f>
        <v>-311.82342484694902</v>
      </c>
      <c r="E109" cm="1">
        <f t="array" ref="E109">MMULT('Base de Datos'!D108:AB108,PCA!$E$4:$E$28)</f>
        <v>-18.174040236150603</v>
      </c>
      <c r="F109" cm="1">
        <f t="array" ref="F109">MMULT('Base de Datos'!D108:AB108,PCA!$F$4:$F$28)</f>
        <v>-73.136064129696777</v>
      </c>
      <c r="G109" cm="1">
        <f t="array" ref="G109">MMULT('Base de Datos'!D108:AB108,PCA!$G$4:$G$28)</f>
        <v>-69.672667643096901</v>
      </c>
    </row>
    <row r="110" spans="1:7">
      <c r="A110" t="s">
        <v>40</v>
      </c>
      <c r="B110" cm="1">
        <f t="array" ref="B110">MMULT('Base de Datos'!D109:AB109,PCA!$B$4:$B$28)</f>
        <v>-11.989133639022391</v>
      </c>
      <c r="C110" cm="1">
        <f t="array" ref="C110">MMULT('Base de Datos'!D109:AB109,PCA!$C$4:$C$28)</f>
        <v>8.4663026317028134</v>
      </c>
      <c r="D110" cm="1">
        <f t="array" ref="D110">MMULT('Base de Datos'!D109:AB109,PCA!$D$4:$D$28)</f>
        <v>-25.308354406695798</v>
      </c>
      <c r="E110" cm="1">
        <f t="array" ref="E110">MMULT('Base de Datos'!D109:AB109,PCA!$E$4:$E$28)</f>
        <v>4.6600586199278995</v>
      </c>
      <c r="F110" cm="1">
        <f t="array" ref="F110">MMULT('Base de Datos'!D109:AB109,PCA!$F$4:$F$28)</f>
        <v>-4.0100409089257303</v>
      </c>
      <c r="G110" cm="1">
        <f t="array" ref="G110">MMULT('Base de Datos'!D109:AB109,PCA!$G$4:$G$28)</f>
        <v>-7.085744673677687</v>
      </c>
    </row>
    <row r="111" spans="1:7">
      <c r="A111" t="s">
        <v>158</v>
      </c>
      <c r="B111" cm="1">
        <f t="array" ref="B111">MMULT('Base de Datos'!D110:AB110,PCA!$B$4:$B$28)</f>
        <v>-1.6074764507675035</v>
      </c>
      <c r="C111" cm="1">
        <f t="array" ref="C111">MMULT('Base de Datos'!D110:AB110,PCA!$C$4:$C$28)</f>
        <v>1.6893461736665509</v>
      </c>
      <c r="D111" cm="1">
        <f t="array" ref="D111">MMULT('Base de Datos'!D110:AB110,PCA!$D$4:$D$28)</f>
        <v>-4.4791412817167995</v>
      </c>
      <c r="E111" cm="1">
        <f t="array" ref="E111">MMULT('Base de Datos'!D110:AB110,PCA!$E$4:$E$28)</f>
        <v>-0.16731523811311186</v>
      </c>
      <c r="F111" cm="1">
        <f t="array" ref="F111">MMULT('Base de Datos'!D110:AB110,PCA!$F$4:$F$28)</f>
        <v>0.61145087811250309</v>
      </c>
      <c r="G111" cm="1">
        <f t="array" ref="G111">MMULT('Base de Datos'!D110:AB110,PCA!$G$4:$G$28)</f>
        <v>-0.85742912988926312</v>
      </c>
    </row>
    <row r="112" spans="1:7">
      <c r="A112" t="s">
        <v>159</v>
      </c>
      <c r="B112" cm="1">
        <f t="array" ref="B112">MMULT('Base de Datos'!D111:AB111,PCA!$B$4:$B$28)</f>
        <v>-1.3042423209939227</v>
      </c>
      <c r="C112" cm="1">
        <f t="array" ref="C112">MMULT('Base de Datos'!D111:AB111,PCA!$C$4:$C$28)</f>
        <v>1.3543474816842874E-2</v>
      </c>
      <c r="D112" cm="1">
        <f t="array" ref="D112">MMULT('Base de Datos'!D111:AB111,PCA!$D$4:$D$28)</f>
        <v>0.85620674434345201</v>
      </c>
      <c r="E112" cm="1">
        <f t="array" ref="E112">MMULT('Base de Datos'!D111:AB111,PCA!$E$4:$E$28)</f>
        <v>5.1480354775587376</v>
      </c>
      <c r="F112" cm="1">
        <f t="array" ref="F112">MMULT('Base de Datos'!D111:AB111,PCA!$F$4:$F$28)</f>
        <v>1.6339974538607656</v>
      </c>
      <c r="G112" cm="1">
        <f t="array" ref="G112">MMULT('Base de Datos'!D111:AB111,PCA!$G$4:$G$28)</f>
        <v>-1.400613090386402</v>
      </c>
    </row>
    <row r="113" spans="1:7">
      <c r="A113" s="3" t="s">
        <v>123</v>
      </c>
      <c r="B113" cm="1">
        <f t="array" ref="B113">MMULT('Base de Datos'!D112:AB112,PCA!$B$4:$B$28)</f>
        <v>9.0500168285353872</v>
      </c>
      <c r="C113" cm="1">
        <f t="array" ref="C113">MMULT('Base de Datos'!D112:AB112,PCA!$C$4:$C$28)</f>
        <v>-6.7942602158069878</v>
      </c>
      <c r="D113" cm="1">
        <f t="array" ref="D113">MMULT('Base de Datos'!D112:AB112,PCA!$D$4:$D$28)</f>
        <v>23.393322597443138</v>
      </c>
      <c r="E113" cm="1">
        <f t="array" ref="E113">MMULT('Base de Datos'!D112:AB112,PCA!$E$4:$E$28)</f>
        <v>1.665724955683308</v>
      </c>
      <c r="F113" cm="1">
        <f t="array" ref="F113">MMULT('Base de Datos'!D112:AB112,PCA!$F$4:$F$28)</f>
        <v>6.9853958886336498</v>
      </c>
      <c r="G113" cm="1">
        <f t="array" ref="G113">MMULT('Base de Datos'!D112:AB112,PCA!$G$4:$G$28)</f>
        <v>5.2905890196963155</v>
      </c>
    </row>
    <row r="114" spans="1:7">
      <c r="A114" s="2" t="s">
        <v>125</v>
      </c>
      <c r="B114" cm="1">
        <f t="array" ref="B114">MMULT('Base de Datos'!D113:AB113,PCA!$B$4:$B$28)</f>
        <v>-5.2346398186868965</v>
      </c>
      <c r="C114" cm="1">
        <f t="array" ref="C114">MMULT('Base de Datos'!D113:AB113,PCA!$C$4:$C$28)</f>
        <v>-0.16654277808352982</v>
      </c>
      <c r="D114" cm="1">
        <f t="array" ref="D114">MMULT('Base de Datos'!D113:AB113,PCA!$D$4:$D$28)</f>
        <v>-10.845018790686346</v>
      </c>
      <c r="E114" cm="1">
        <f t="array" ref="E114">MMULT('Base de Datos'!D113:AB113,PCA!$E$4:$E$28)</f>
        <v>-3.0311463234267504</v>
      </c>
      <c r="F114" cm="1">
        <f t="array" ref="F114">MMULT('Base de Datos'!D113:AB113,PCA!$F$4:$F$28)</f>
        <v>-0.71206153916796189</v>
      </c>
      <c r="G114" cm="1">
        <f t="array" ref="G114">MMULT('Base de Datos'!D113:AB113,PCA!$G$4:$G$28)</f>
        <v>-4.4856621185582011</v>
      </c>
    </row>
    <row r="115" spans="1:7">
      <c r="A115" t="s">
        <v>126</v>
      </c>
      <c r="B115" cm="1">
        <f t="array" ref="B115">MMULT('Base de Datos'!D114:AB114,PCA!$B$4:$B$28)</f>
        <v>-11.268734589665863</v>
      </c>
      <c r="C115" cm="1">
        <f t="array" ref="C115">MMULT('Base de Datos'!D114:AB114,PCA!$C$4:$C$28)</f>
        <v>4.0158755039155052</v>
      </c>
      <c r="D115" cm="1">
        <f t="array" ref="D115">MMULT('Base de Datos'!D114:AB114,PCA!$D$4:$D$28)</f>
        <v>-18.041309527766828</v>
      </c>
      <c r="E115" cm="1">
        <f t="array" ref="E115">MMULT('Base de Datos'!D114:AB114,PCA!$E$4:$E$28)</f>
        <v>8.0040474447166599</v>
      </c>
      <c r="F115" cm="1">
        <f t="array" ref="F115">MMULT('Base de Datos'!D114:AB114,PCA!$F$4:$F$28)</f>
        <v>-2.0784628521946744</v>
      </c>
      <c r="G115" cm="1">
        <f t="array" ref="G115">MMULT('Base de Datos'!D114:AB114,PCA!$G$4:$G$28)</f>
        <v>-8.2150875180687581</v>
      </c>
    </row>
    <row r="116" spans="1:7">
      <c r="A116" s="8" t="s">
        <v>127</v>
      </c>
      <c r="B116" cm="1">
        <f t="array" ref="B116">MMULT('Base de Datos'!D115:AB115,PCA!$B$4:$B$28)</f>
        <v>-10.086936884734312</v>
      </c>
      <c r="C116" cm="1">
        <f t="array" ref="C116">MMULT('Base de Datos'!D115:AB115,PCA!$C$4:$C$28)</f>
        <v>4.1194492871028405</v>
      </c>
      <c r="D116" cm="1">
        <f t="array" ref="D116">MMULT('Base de Datos'!D115:AB115,PCA!$D$4:$D$28)</f>
        <v>-18.515641891196129</v>
      </c>
      <c r="E116" cm="1">
        <f t="array" ref="E116">MMULT('Base de Datos'!D115:AB115,PCA!$E$4:$E$28)</f>
        <v>5.7296355691706999</v>
      </c>
      <c r="F116" cm="1">
        <f t="array" ref="F116">MMULT('Base de Datos'!D115:AB115,PCA!$F$4:$F$28)</f>
        <v>-2.5299191585669969</v>
      </c>
      <c r="G116" cm="1">
        <f t="array" ref="G116">MMULT('Base de Datos'!D115:AB115,PCA!$G$4:$G$28)</f>
        <v>-6.2211316811272983</v>
      </c>
    </row>
    <row r="117" spans="1:7">
      <c r="A117" t="s">
        <v>128</v>
      </c>
      <c r="B117" cm="1">
        <f t="array" ref="B117">MMULT('Base de Datos'!D116:AB116,PCA!$B$4:$B$28)</f>
        <v>3.4152733185152182</v>
      </c>
      <c r="C117" cm="1">
        <f t="array" ref="C117">MMULT('Base de Datos'!D116:AB116,PCA!$C$4:$C$28)</f>
        <v>-2.9064136279401018</v>
      </c>
      <c r="D117" cm="1">
        <f t="array" ref="D117">MMULT('Base de Datos'!D116:AB116,PCA!$D$4:$D$28)</f>
        <v>8.7684368748834345</v>
      </c>
      <c r="E117" cm="1">
        <f t="array" ref="E117">MMULT('Base de Datos'!D116:AB116,PCA!$E$4:$E$28)</f>
        <v>0.59222477186097799</v>
      </c>
      <c r="F117" cm="1">
        <f t="array" ref="F117">MMULT('Base de Datos'!D116:AB116,PCA!$F$4:$F$28)</f>
        <v>3.9050514385535773</v>
      </c>
      <c r="G117" cm="1">
        <f t="array" ref="G117">MMULT('Base de Datos'!D116:AB116,PCA!$G$4:$G$28)</f>
        <v>2.0909287492221416</v>
      </c>
    </row>
    <row r="118" spans="1:7">
      <c r="A118" t="s">
        <v>129</v>
      </c>
      <c r="B118" cm="1">
        <f t="array" ref="B118">MMULT('Base de Datos'!D117:AB117,PCA!$B$4:$B$28)</f>
        <v>-10.965938782965663</v>
      </c>
      <c r="C118" cm="1">
        <f t="array" ref="C118">MMULT('Base de Datos'!D117:AB117,PCA!$C$4:$C$28)</f>
        <v>4.8947812679516325</v>
      </c>
      <c r="D118" cm="1">
        <f t="array" ref="D118">MMULT('Base de Datos'!D117:AB117,PCA!$D$4:$D$28)</f>
        <v>-18.84911226712849</v>
      </c>
      <c r="E118" cm="1">
        <f t="array" ref="E118">MMULT('Base de Datos'!D117:AB117,PCA!$E$4:$E$28)</f>
        <v>7.2066183661806082</v>
      </c>
      <c r="F118" cm="1">
        <f t="array" ref="F118">MMULT('Base de Datos'!D117:AB117,PCA!$F$4:$F$28)</f>
        <v>-1.9862493660312688</v>
      </c>
      <c r="G118" cm="1">
        <f t="array" ref="G118">MMULT('Base de Datos'!D117:AB117,PCA!$G$4:$G$28)</f>
        <v>-7.462371125766901</v>
      </c>
    </row>
    <row r="119" spans="1:7">
      <c r="A119" t="s">
        <v>130</v>
      </c>
      <c r="B119" cm="1">
        <f t="array" ref="B119">MMULT('Base de Datos'!D118:AB118,PCA!$B$4:$B$28)</f>
        <v>-10.379683541739574</v>
      </c>
      <c r="C119" cm="1">
        <f t="array" ref="C119">MMULT('Base de Datos'!D118:AB118,PCA!$C$4:$C$28)</f>
        <v>5.0161734719993429</v>
      </c>
      <c r="D119" cm="1">
        <f t="array" ref="D119">MMULT('Base de Datos'!D118:AB118,PCA!$D$4:$D$28)</f>
        <v>-18.896149553674313</v>
      </c>
      <c r="E119" cm="1">
        <f t="array" ref="E119">MMULT('Base de Datos'!D118:AB118,PCA!$E$4:$E$28)</f>
        <v>6.4061127907933937</v>
      </c>
      <c r="F119" cm="1">
        <f t="array" ref="F119">MMULT('Base de Datos'!D118:AB118,PCA!$F$4:$F$28)</f>
        <v>-2.2868883356951986</v>
      </c>
      <c r="G119" cm="1">
        <f t="array" ref="G119">MMULT('Base de Datos'!D118:AB118,PCA!$G$4:$G$28)</f>
        <v>-6.8647685780593521</v>
      </c>
    </row>
    <row r="120" spans="1:7">
      <c r="A120" t="s">
        <v>131</v>
      </c>
      <c r="B120" cm="1">
        <f t="array" ref="B120">MMULT('Base de Datos'!D119:AB119,PCA!$B$4:$B$28)</f>
        <v>-3.6153979526909397</v>
      </c>
      <c r="C120" cm="1">
        <f t="array" ref="C120">MMULT('Base de Datos'!D119:AB119,PCA!$C$4:$C$28)</f>
        <v>1.0959946150552153</v>
      </c>
      <c r="D120" cm="1">
        <f t="array" ref="D120">MMULT('Base de Datos'!D119:AB119,PCA!$D$4:$D$28)</f>
        <v>-3.4496208308456588</v>
      </c>
      <c r="E120" cm="1">
        <f t="array" ref="E120">MMULT('Base de Datos'!D119:AB119,PCA!$E$4:$E$28)</f>
        <v>6.75654693890234</v>
      </c>
      <c r="F120" cm="1">
        <f t="array" ref="F120">MMULT('Base de Datos'!D119:AB119,PCA!$F$4:$F$28)</f>
        <v>0.96559028549889725</v>
      </c>
      <c r="G120" cm="1">
        <f t="array" ref="G120">MMULT('Base de Datos'!D119:AB119,PCA!$G$4:$G$28)</f>
        <v>-3.0749134254429218</v>
      </c>
    </row>
    <row r="121" spans="1:7">
      <c r="A121" t="s">
        <v>132</v>
      </c>
      <c r="B121" cm="1">
        <f t="array" ref="B121">MMULT('Base de Datos'!D120:AB120,PCA!$B$4:$B$28)</f>
        <v>-12.589464088883949</v>
      </c>
      <c r="C121" cm="1">
        <f t="array" ref="C121">MMULT('Base de Datos'!D120:AB120,PCA!$C$4:$C$28)</f>
        <v>6.1374179593622875</v>
      </c>
      <c r="D121" cm="1">
        <f t="array" ref="D121">MMULT('Base de Datos'!D120:AB120,PCA!$D$4:$D$28)</f>
        <v>-22.381799520552924</v>
      </c>
      <c r="E121" cm="1">
        <f t="array" ref="E121">MMULT('Base de Datos'!D120:AB120,PCA!$E$4:$E$28)</f>
        <v>6.5283288026755839</v>
      </c>
      <c r="F121" cm="1">
        <f t="array" ref="F121">MMULT('Base de Datos'!D120:AB120,PCA!$F$4:$F$28)</f>
        <v>-2.6926377820846459</v>
      </c>
      <c r="G121" cm="1">
        <f t="array" ref="G121">MMULT('Base de Datos'!D120:AB120,PCA!$G$4:$G$28)</f>
        <v>-7.1798896104829719</v>
      </c>
    </row>
    <row r="122" spans="1:7">
      <c r="A122" t="s">
        <v>133</v>
      </c>
      <c r="B122" cm="1">
        <f t="array" ref="B122">MMULT('Base de Datos'!D121:AB121,PCA!$B$4:$B$28)</f>
        <v>-7.442666960452053</v>
      </c>
      <c r="C122" cm="1">
        <f t="array" ref="C122">MMULT('Base de Datos'!D121:AB121,PCA!$C$4:$C$28)</f>
        <v>1.9368459901012287</v>
      </c>
      <c r="D122" cm="1">
        <f t="array" ref="D122">MMULT('Base de Datos'!D121:AB121,PCA!$D$4:$D$28)</f>
        <v>-11.300594571329192</v>
      </c>
      <c r="E122" cm="1">
        <f t="array" ref="E122">MMULT('Base de Datos'!D121:AB121,PCA!$E$4:$E$28)</f>
        <v>5.8572396090816907</v>
      </c>
      <c r="F122" cm="1">
        <f t="array" ref="F122">MMULT('Base de Datos'!D121:AB121,PCA!$F$4:$F$28)</f>
        <v>-0.74243252158601236</v>
      </c>
      <c r="G122" cm="1">
        <f t="array" ref="G122">MMULT('Base de Datos'!D121:AB121,PCA!$G$4:$G$28)</f>
        <v>-5.1580914028166163</v>
      </c>
    </row>
    <row r="123" spans="1:7">
      <c r="A123" s="3" t="s">
        <v>134</v>
      </c>
      <c r="B123" cm="1">
        <f t="array" ref="B123">MMULT('Base de Datos'!D122:AB122,PCA!$B$4:$B$28)</f>
        <v>-1.4090729516006097</v>
      </c>
      <c r="C123" cm="1">
        <f t="array" ref="C123">MMULT('Base de Datos'!D122:AB122,PCA!$C$4:$C$28)</f>
        <v>1.1637119808429004</v>
      </c>
      <c r="D123" cm="1">
        <f t="array" ref="D123">MMULT('Base de Datos'!D122:AB122,PCA!$D$4:$D$28)</f>
        <v>-4.3806576153051715</v>
      </c>
      <c r="E123" cm="1">
        <f t="array" ref="E123">MMULT('Base de Datos'!D122:AB122,PCA!$E$4:$E$28)</f>
        <v>3.0702301763468158</v>
      </c>
      <c r="F123" cm="1">
        <f t="array" ref="F123">MMULT('Base de Datos'!D122:AB122,PCA!$F$4:$F$28)</f>
        <v>-1.4719135980314515</v>
      </c>
      <c r="G123" cm="1">
        <f t="array" ref="G123">MMULT('Base de Datos'!D122:AB122,PCA!$G$4:$G$28)</f>
        <v>-2.2876534311360728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Empresas</vt:lpstr>
      <vt:lpstr>Ratios</vt:lpstr>
      <vt:lpstr>Base de Datos</vt:lpstr>
      <vt:lpstr>PCA</vt:lpstr>
      <vt:lpstr>Índices (Orden)</vt:lpstr>
      <vt:lpstr>Índices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Ochoa</dc:creator>
  <cp:lastModifiedBy>Itzel Roa</cp:lastModifiedBy>
  <dcterms:created xsi:type="dcterms:W3CDTF">2020-09-10T20:54:18Z</dcterms:created>
  <dcterms:modified xsi:type="dcterms:W3CDTF">2023-08-23T20:59:15Z</dcterms:modified>
</cp:coreProperties>
</file>