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경남대학교\GitHub\sms\"/>
    </mc:Choice>
  </mc:AlternateContent>
  <xr:revisionPtr revIDLastSave="0" documentId="13_ncr:1_{F1BC559D-CC80-4156-BC55-9AD46161A30C}" xr6:coauthVersionLast="45" xr6:coauthVersionMax="45" xr10:uidLastSave="{00000000-0000-0000-0000-000000000000}"/>
  <bookViews>
    <workbookView xWindow="-120" yWindow="-120" windowWidth="29040" windowHeight="16440" xr2:uid="{B9178110-FA82-441D-9A7A-91BC9B243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8" i="1" l="1"/>
  <c r="T58" i="1"/>
  <c r="Q61" i="1"/>
  <c r="E57" i="1"/>
  <c r="U49" i="1"/>
  <c r="E34" i="1"/>
  <c r="S31" i="1"/>
  <c r="Q58" i="1"/>
  <c r="U53" i="1"/>
  <c r="U52" i="1"/>
  <c r="U51" i="1"/>
  <c r="U50" i="1"/>
  <c r="T54" i="1"/>
  <c r="S54" i="1"/>
  <c r="T53" i="1"/>
  <c r="S53" i="1"/>
  <c r="P54" i="1"/>
  <c r="H22" i="1"/>
  <c r="H25" i="1"/>
  <c r="S50" i="1"/>
  <c r="T50" i="1"/>
  <c r="S51" i="1"/>
  <c r="T51" i="1"/>
  <c r="S52" i="1"/>
  <c r="T52" i="1"/>
  <c r="T49" i="1"/>
  <c r="S49" i="1"/>
  <c r="T48" i="1"/>
  <c r="S48" i="1"/>
  <c r="T47" i="1"/>
  <c r="S47" i="1"/>
  <c r="T46" i="1"/>
  <c r="S46" i="1"/>
  <c r="T45" i="1"/>
  <c r="S45" i="1"/>
  <c r="G47" i="1"/>
  <c r="H47" i="1"/>
  <c r="D49" i="1"/>
  <c r="H48" i="1"/>
  <c r="G48" i="1"/>
  <c r="H46" i="1"/>
  <c r="G46" i="1"/>
  <c r="H45" i="1"/>
  <c r="G45" i="1"/>
  <c r="T24" i="1"/>
  <c r="T25" i="1"/>
  <c r="T26" i="1"/>
  <c r="S24" i="1"/>
  <c r="S25" i="1"/>
  <c r="S26" i="1"/>
  <c r="P27" i="1"/>
  <c r="T23" i="1"/>
  <c r="S23" i="1"/>
  <c r="T22" i="1"/>
  <c r="S22" i="1"/>
  <c r="U25" i="1" s="1"/>
  <c r="H24" i="1"/>
  <c r="H23" i="1"/>
  <c r="G24" i="1"/>
  <c r="G25" i="1"/>
  <c r="G23" i="1"/>
  <c r="G22" i="1"/>
  <c r="Q62" i="1" l="1"/>
  <c r="U54" i="1"/>
  <c r="U46" i="1"/>
  <c r="U45" i="1"/>
  <c r="U23" i="1"/>
  <c r="I23" i="1"/>
  <c r="U48" i="1"/>
  <c r="I25" i="1"/>
  <c r="S58" i="1"/>
  <c r="U47" i="1"/>
  <c r="I47" i="1"/>
  <c r="H26" i="1"/>
  <c r="I48" i="1"/>
  <c r="H49" i="1"/>
  <c r="G49" i="1"/>
  <c r="E53" i="1"/>
  <c r="F53" i="1" s="1"/>
  <c r="I45" i="1"/>
  <c r="I46" i="1"/>
  <c r="I24" i="1"/>
  <c r="G26" i="1"/>
  <c r="T27" i="1"/>
  <c r="U26" i="1"/>
  <c r="S27" i="1"/>
  <c r="U24" i="1"/>
  <c r="U22" i="1"/>
  <c r="Q31" i="1"/>
  <c r="T31" i="1" s="1"/>
  <c r="D26" i="1"/>
  <c r="Q57" i="1" l="1"/>
  <c r="G53" i="1"/>
  <c r="H53" i="1" s="1"/>
  <c r="I49" i="1"/>
  <c r="E52" i="1" s="1"/>
  <c r="E30" i="1"/>
  <c r="G30" i="1" s="1"/>
  <c r="H30" i="1" s="1"/>
  <c r="U27" i="1"/>
  <c r="R31" i="1"/>
  <c r="Q36" i="1" s="1"/>
  <c r="X17" i="1"/>
  <c r="W17" i="1"/>
  <c r="V17" i="1"/>
  <c r="U17" i="1"/>
  <c r="T17" i="1"/>
  <c r="Y15" i="1"/>
  <c r="U10" i="1" s="1"/>
  <c r="U12" i="1" s="1"/>
  <c r="P17" i="1"/>
  <c r="O17" i="1"/>
  <c r="N17" i="1"/>
  <c r="M17" i="1"/>
  <c r="L17" i="1"/>
  <c r="Q15" i="1"/>
  <c r="M10" i="1" s="1"/>
  <c r="X12" i="1"/>
  <c r="W12" i="1"/>
  <c r="P12" i="1"/>
  <c r="O7" i="1"/>
  <c r="N7" i="1"/>
  <c r="M7" i="1"/>
  <c r="O12" i="1"/>
  <c r="L12" i="1"/>
  <c r="F11" i="1"/>
  <c r="G11" i="1" s="1"/>
  <c r="F10" i="1"/>
  <c r="G10" i="1" s="1"/>
  <c r="F6" i="1"/>
  <c r="G6" i="1" s="1"/>
  <c r="H6" i="1" s="1"/>
  <c r="F5" i="1"/>
  <c r="A16" i="1"/>
  <c r="A13" i="1"/>
  <c r="A15" i="1" s="1"/>
  <c r="A11" i="1"/>
  <c r="A10" i="1"/>
  <c r="A9" i="1"/>
  <c r="B7" i="1"/>
  <c r="B6" i="1"/>
  <c r="A7" i="1"/>
  <c r="A6" i="1"/>
  <c r="A4" i="1"/>
  <c r="A3" i="1"/>
  <c r="A1" i="1"/>
  <c r="A2" i="1" s="1"/>
  <c r="X45" i="1" l="1"/>
  <c r="X46" i="1" s="1"/>
  <c r="X47" i="1" s="1"/>
  <c r="X48" i="1" s="1"/>
  <c r="X49" i="1" s="1"/>
  <c r="R36" i="1"/>
  <c r="S57" i="1"/>
  <c r="T57" i="1" s="1"/>
  <c r="R57" i="1"/>
  <c r="R62" i="1"/>
  <c r="F52" i="1"/>
  <c r="L45" i="1"/>
  <c r="G52" i="1"/>
  <c r="E58" i="1"/>
  <c r="Q30" i="1"/>
  <c r="F30" i="1"/>
  <c r="A14" i="1"/>
  <c r="Y10" i="1"/>
  <c r="P5" i="1" s="1"/>
  <c r="P7" i="1" s="1"/>
  <c r="V12" i="1"/>
  <c r="T12" i="1"/>
  <c r="N12" i="1"/>
  <c r="M12" i="1"/>
  <c r="Y17" i="1"/>
  <c r="Y16" i="1" s="1"/>
  <c r="Q17" i="1"/>
  <c r="Q16" i="1" s="1"/>
  <c r="F7" i="1"/>
  <c r="G7" i="1" s="1"/>
  <c r="H7" i="1" s="1"/>
  <c r="G5" i="1"/>
  <c r="H5" i="1" s="1"/>
  <c r="Y49" i="1" l="1"/>
  <c r="X50" i="1"/>
  <c r="S30" i="1"/>
  <c r="X22" i="1"/>
  <c r="X23" i="1" s="1"/>
  <c r="X24" i="1" s="1"/>
  <c r="X25" i="1" s="1"/>
  <c r="Y48" i="1"/>
  <c r="Y47" i="1"/>
  <c r="Y45" i="1"/>
  <c r="Y46" i="1"/>
  <c r="R61" i="1"/>
  <c r="H52" i="1"/>
  <c r="M45" i="1"/>
  <c r="L46" i="1"/>
  <c r="R30" i="1"/>
  <c r="Y12" i="1"/>
  <c r="Y11" i="1" s="1"/>
  <c r="Q12" i="1"/>
  <c r="Q10" i="1"/>
  <c r="L5" i="1" s="1"/>
  <c r="Q5" i="1" s="1"/>
  <c r="E11" i="1"/>
  <c r="I11" i="1" s="1"/>
  <c r="E10" i="1"/>
  <c r="I10" i="1" s="1"/>
  <c r="Y50" i="1" l="1"/>
  <c r="X51" i="1"/>
  <c r="T30" i="1"/>
  <c r="Y23" i="1"/>
  <c r="Y25" i="1"/>
  <c r="Y24" i="1"/>
  <c r="Y22" i="1"/>
  <c r="M46" i="1"/>
  <c r="L47" i="1"/>
  <c r="M47" i="1" s="1"/>
  <c r="H11" i="1"/>
  <c r="I12" i="1"/>
  <c r="Q11" i="1"/>
  <c r="L7" i="1"/>
  <c r="Q7" i="1" s="1"/>
  <c r="Q6" i="1" s="1"/>
  <c r="H10" i="1"/>
  <c r="X52" i="1" l="1"/>
  <c r="Y52" i="1" s="1"/>
  <c r="Y51" i="1"/>
  <c r="Q35" i="1"/>
  <c r="R35" i="1"/>
  <c r="H12" i="1"/>
  <c r="E12" i="1"/>
  <c r="G12" i="1" s="1"/>
  <c r="F12" i="1" s="1"/>
  <c r="F13" i="1" s="1"/>
  <c r="I22" i="1"/>
  <c r="I26" i="1" s="1"/>
  <c r="E29" i="1" s="1"/>
  <c r="L22" i="1" l="1"/>
  <c r="L23" i="1" s="1"/>
  <c r="L24" i="1" s="1"/>
  <c r="G29" i="1"/>
  <c r="F29" i="1"/>
  <c r="E35" i="1"/>
  <c r="H29" i="1" l="1"/>
  <c r="M23" i="1"/>
  <c r="M22" i="1"/>
  <c r="M24" i="1"/>
</calcChain>
</file>

<file path=xl/sharedStrings.xml><?xml version="1.0" encoding="utf-8"?>
<sst xmlns="http://schemas.openxmlformats.org/spreadsheetml/2006/main" count="83" uniqueCount="30">
  <si>
    <t>theta1</t>
    <phoneticPr fontId="1" type="noConversion"/>
  </si>
  <si>
    <t>theta2</t>
    <phoneticPr fontId="1" type="noConversion"/>
  </si>
  <si>
    <t>F1</t>
    <phoneticPr fontId="1" type="noConversion"/>
  </si>
  <si>
    <t>thata3</t>
    <phoneticPr fontId="1" type="noConversion"/>
  </si>
  <si>
    <t>ang</t>
    <phoneticPr fontId="1" type="noConversion"/>
  </si>
  <si>
    <t>180-ang</t>
    <phoneticPr fontId="1" type="noConversion"/>
  </si>
  <si>
    <t>degree</t>
    <phoneticPr fontId="1" type="noConversion"/>
  </si>
  <si>
    <t>radian</t>
    <phoneticPr fontId="1" type="noConversion"/>
  </si>
  <si>
    <t>sin</t>
    <phoneticPr fontId="1" type="noConversion"/>
  </si>
  <si>
    <t>F2</t>
    <phoneticPr fontId="1" type="noConversion"/>
  </si>
  <si>
    <t>mag</t>
    <phoneticPr fontId="1" type="noConversion"/>
  </si>
  <si>
    <t>x</t>
    <phoneticPr fontId="1" type="noConversion"/>
  </si>
  <si>
    <t>y</t>
    <phoneticPr fontId="1" type="noConversion"/>
  </si>
  <si>
    <t>R</t>
    <phoneticPr fontId="1" type="noConversion"/>
  </si>
  <si>
    <t>wgt</t>
    <phoneticPr fontId="1" type="noConversion"/>
  </si>
  <si>
    <t>dist</t>
    <phoneticPr fontId="1" type="noConversion"/>
  </si>
  <si>
    <t>Mnt</t>
    <phoneticPr fontId="1" type="noConversion"/>
  </si>
  <si>
    <t>result</t>
    <phoneticPr fontId="1" type="noConversion"/>
  </si>
  <si>
    <t>sum</t>
    <phoneticPr fontId="1" type="noConversion"/>
  </si>
  <si>
    <t>y</t>
    <phoneticPr fontId="1" type="noConversion"/>
  </si>
  <si>
    <t>Va</t>
    <phoneticPr fontId="1" type="noConversion"/>
  </si>
  <si>
    <t>Vb</t>
    <phoneticPr fontId="1" type="noConversion"/>
  </si>
  <si>
    <t>Ha</t>
    <phoneticPr fontId="1" type="noConversion"/>
  </si>
  <si>
    <t>Hb</t>
    <phoneticPr fontId="1" type="noConversion"/>
  </si>
  <si>
    <t>dx</t>
    <phoneticPr fontId="1" type="noConversion"/>
  </si>
  <si>
    <t>dy</t>
    <phoneticPr fontId="1" type="noConversion"/>
  </si>
  <si>
    <t>w</t>
    <phoneticPr fontId="1" type="noConversion"/>
  </si>
  <si>
    <t>m</t>
    <phoneticPr fontId="1" type="noConversion"/>
  </si>
  <si>
    <t>axial</t>
    <phoneticPr fontId="1" type="noConversion"/>
  </si>
  <si>
    <t>acc_fy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</si>
</sst>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B12A-83CC-4490-8117-7A72E0BFF321}">
  <dimension ref="A1:Y62"/>
  <sheetViews>
    <sheetView tabSelected="1" topLeftCell="A25" zoomScale="85" zoomScaleNormal="85" workbookViewId="0">
      <selection activeCell="R61" sqref="R61"/>
    </sheetView>
  </sheetViews>
  <sheetFormatPr defaultRowHeight="16.5" x14ac:dyDescent="0.3"/>
  <cols>
    <col min="3" max="3" width="4" customWidth="1"/>
    <col min="5" max="9" width="8.875" customWidth="1"/>
    <col min="10" max="10" width="3.75" customWidth="1"/>
    <col min="11" max="11" width="5" customWidth="1"/>
    <col min="12" max="17" width="12.5" customWidth="1"/>
    <col min="20" max="25" width="12.625" customWidth="1"/>
  </cols>
  <sheetData>
    <row r="1" spans="1:25" x14ac:dyDescent="0.3">
      <c r="A1">
        <f>70.698*34.6278+7133</f>
        <v>9581.1162043999993</v>
      </c>
    </row>
    <row r="2" spans="1:25" x14ac:dyDescent="0.3">
      <c r="A2">
        <f>A1/47.45</f>
        <v>201.92025720547943</v>
      </c>
    </row>
    <row r="3" spans="1:25" x14ac:dyDescent="0.3">
      <c r="A3">
        <f>(70.7-47.45)*201.9+71.33*(100-70.7)</f>
        <v>6784.1440000000002</v>
      </c>
    </row>
    <row r="4" spans="1:25" x14ac:dyDescent="0.3">
      <c r="A4">
        <f>95.944*70.7</f>
        <v>6783.2408000000005</v>
      </c>
      <c r="E4" t="s">
        <v>4</v>
      </c>
      <c r="F4" t="s">
        <v>5</v>
      </c>
      <c r="G4" t="s">
        <v>7</v>
      </c>
      <c r="H4" t="s">
        <v>8</v>
      </c>
      <c r="L4">
        <v>1</v>
      </c>
      <c r="M4">
        <v>2</v>
      </c>
      <c r="N4">
        <v>3</v>
      </c>
      <c r="O4">
        <v>4</v>
      </c>
      <c r="P4">
        <v>5</v>
      </c>
      <c r="Q4" t="s">
        <v>17</v>
      </c>
    </row>
    <row r="5" spans="1:25" x14ac:dyDescent="0.3">
      <c r="D5" t="s">
        <v>0</v>
      </c>
      <c r="E5" s="2">
        <v>74.95</v>
      </c>
      <c r="F5" s="2">
        <f>90-E5</f>
        <v>15.049999999999997</v>
      </c>
      <c r="G5" s="2">
        <f>F5*PI()/180</f>
        <v>0.26267205242514652</v>
      </c>
      <c r="H5" s="2">
        <f>SIN(G5)</f>
        <v>0.25966187574449145</v>
      </c>
      <c r="K5" t="s">
        <v>14</v>
      </c>
      <c r="L5" s="2">
        <f>Q10</f>
        <v>964.2700000000001</v>
      </c>
      <c r="M5" s="2">
        <v>119.45</v>
      </c>
      <c r="N5" s="2">
        <v>72.930000000000007</v>
      </c>
      <c r="O5" s="2">
        <v>102.8</v>
      </c>
      <c r="P5" s="2">
        <f>Y10</f>
        <v>643.16000000000008</v>
      </c>
      <c r="Q5" s="2">
        <f>SUM(L5:P5)</f>
        <v>1902.6100000000001</v>
      </c>
    </row>
    <row r="6" spans="1:25" x14ac:dyDescent="0.3">
      <c r="A6">
        <f>10^(1/3)</f>
        <v>2.1544346900318838</v>
      </c>
      <c r="B6">
        <f>10^(1/2)</f>
        <v>3.1622776601683795</v>
      </c>
      <c r="D6" t="s">
        <v>1</v>
      </c>
      <c r="E6" s="2">
        <v>39.9</v>
      </c>
      <c r="F6" s="2">
        <f>90-E6</f>
        <v>50.1</v>
      </c>
      <c r="G6" s="2">
        <f t="shared" ref="G6:G7" si="0">F6*PI()/180</f>
        <v>0.8744099552491591</v>
      </c>
      <c r="H6" s="2">
        <f t="shared" ref="H6:H7" si="1">SIN(G6)</f>
        <v>0.76716515181529954</v>
      </c>
      <c r="K6" t="s">
        <v>15</v>
      </c>
      <c r="L6" s="2">
        <v>27</v>
      </c>
      <c r="M6" s="2">
        <v>90.34</v>
      </c>
      <c r="N6" s="2">
        <v>101.08</v>
      </c>
      <c r="O6" s="2">
        <v>161.36000000000001</v>
      </c>
      <c r="P6" s="2">
        <v>210</v>
      </c>
      <c r="Q6" s="2">
        <f>Q7/Q5</f>
        <v>102.93732052286072</v>
      </c>
    </row>
    <row r="7" spans="1:25" x14ac:dyDescent="0.3">
      <c r="A7">
        <f>200^(1/3)</f>
        <v>5.8480354764257312</v>
      </c>
      <c r="B7">
        <f>200^(1/2)</f>
        <v>14.142135623730951</v>
      </c>
      <c r="D7" t="s">
        <v>3</v>
      </c>
      <c r="E7" s="2"/>
      <c r="F7" s="2">
        <f>180-F5-F6</f>
        <v>114.85</v>
      </c>
      <c r="G7" s="2">
        <f t="shared" si="0"/>
        <v>2.0045106459154876</v>
      </c>
      <c r="H7" s="2">
        <f t="shared" si="1"/>
        <v>0.90741109192869673</v>
      </c>
      <c r="K7" t="s">
        <v>16</v>
      </c>
      <c r="L7" s="2">
        <f>L5*L6</f>
        <v>26035.29</v>
      </c>
      <c r="M7" s="2">
        <f>M5*M6</f>
        <v>10791.113000000001</v>
      </c>
      <c r="N7" s="2">
        <f>N5*N6</f>
        <v>7371.7644000000009</v>
      </c>
      <c r="O7" s="2">
        <f>O5*O6</f>
        <v>16587.808000000001</v>
      </c>
      <c r="P7" s="2">
        <f>P5*P6</f>
        <v>135063.6</v>
      </c>
      <c r="Q7" s="2">
        <f>SUM(L7:P7)</f>
        <v>195849.57540000003</v>
      </c>
    </row>
    <row r="8" spans="1:25" x14ac:dyDescent="0.3">
      <c r="L8" s="2"/>
      <c r="M8" s="2"/>
      <c r="N8" s="2"/>
      <c r="O8" s="2"/>
      <c r="P8" s="2"/>
      <c r="Q8" s="2"/>
    </row>
    <row r="9" spans="1:25" x14ac:dyDescent="0.3">
      <c r="A9">
        <f>817.2876*65.4245</f>
        <v>53470.632586199994</v>
      </c>
      <c r="E9" t="s">
        <v>10</v>
      </c>
      <c r="F9" t="s">
        <v>4</v>
      </c>
      <c r="G9" t="s">
        <v>6</v>
      </c>
      <c r="H9" t="s">
        <v>11</v>
      </c>
      <c r="I9" t="s">
        <v>12</v>
      </c>
      <c r="L9" s="2"/>
      <c r="M9" s="2"/>
      <c r="N9" s="2"/>
      <c r="O9" s="2"/>
      <c r="P9" s="2"/>
      <c r="Q9" s="2"/>
    </row>
    <row r="10" spans="1:25" x14ac:dyDescent="0.3">
      <c r="A10">
        <f>73.16356*65.9205+486.4765*100</f>
        <v>53470.628456980005</v>
      </c>
      <c r="D10" t="s">
        <v>2</v>
      </c>
      <c r="E10" s="1">
        <f>H6*100/H7</f>
        <v>84.544387724498137</v>
      </c>
      <c r="F10" s="1">
        <f>E5</f>
        <v>74.95</v>
      </c>
      <c r="G10" s="1">
        <f>F10*PI()/180</f>
        <v>1.3081242743697499</v>
      </c>
      <c r="H10" s="1">
        <f>E10*COS(G10)</f>
        <v>21.952954300212763</v>
      </c>
      <c r="I10" s="1">
        <f>E10*SIN(G10)</f>
        <v>81.644481094578836</v>
      </c>
      <c r="K10" t="s">
        <v>14</v>
      </c>
      <c r="L10" s="2">
        <v>182.69</v>
      </c>
      <c r="M10" s="2">
        <f>Q15</f>
        <v>662.2600000000001</v>
      </c>
      <c r="N10" s="2">
        <v>76.61</v>
      </c>
      <c r="O10" s="2">
        <v>42.71</v>
      </c>
      <c r="P10" s="2"/>
      <c r="Q10" s="2">
        <f>SUM(L10:P10)</f>
        <v>964.2700000000001</v>
      </c>
      <c r="S10" t="s">
        <v>14</v>
      </c>
      <c r="T10" s="2">
        <v>169.55</v>
      </c>
      <c r="U10" s="2">
        <f>Y15</f>
        <v>293.26000000000005</v>
      </c>
      <c r="V10" s="2">
        <v>140.12</v>
      </c>
      <c r="W10" s="2">
        <v>40.229999999999997</v>
      </c>
      <c r="X10" s="2"/>
      <c r="Y10" s="2">
        <f>SUM(T10:X10)</f>
        <v>643.16000000000008</v>
      </c>
    </row>
    <row r="11" spans="1:25" x14ac:dyDescent="0.3">
      <c r="A11">
        <f>ATAN(1)*180/PI()</f>
        <v>45</v>
      </c>
      <c r="D11" t="s">
        <v>9</v>
      </c>
      <c r="E11" s="1">
        <f>H5*100/H7</f>
        <v>28.615682357660155</v>
      </c>
      <c r="F11" s="1">
        <f>180-E6</f>
        <v>140.1</v>
      </c>
      <c r="G11" s="1">
        <f>F11*PI()/180</f>
        <v>2.4452062820440554</v>
      </c>
      <c r="H11" s="1">
        <f>E11*COS(G11)</f>
        <v>-21.952954300212738</v>
      </c>
      <c r="I11" s="1">
        <f>E11*SIN(G11)</f>
        <v>18.355518905421164</v>
      </c>
      <c r="K11" t="s">
        <v>15</v>
      </c>
      <c r="L11" s="2">
        <v>0</v>
      </c>
      <c r="M11" s="2">
        <v>86.18</v>
      </c>
      <c r="N11" s="2">
        <v>46.21</v>
      </c>
      <c r="O11" s="2">
        <v>210</v>
      </c>
      <c r="P11" s="2">
        <v>210</v>
      </c>
      <c r="Q11" s="2">
        <f>Q12/Q10</f>
        <v>72.161132151783221</v>
      </c>
      <c r="S11" t="s">
        <v>15</v>
      </c>
      <c r="T11" s="2">
        <v>0</v>
      </c>
      <c r="U11" s="2">
        <v>95.41</v>
      </c>
      <c r="V11" s="2">
        <v>160.79</v>
      </c>
      <c r="W11" s="2">
        <v>210</v>
      </c>
      <c r="X11" s="2">
        <v>210</v>
      </c>
      <c r="Y11" s="2">
        <f>Y12/Y10</f>
        <v>91.66946234218544</v>
      </c>
    </row>
    <row r="12" spans="1:25" x14ac:dyDescent="0.3">
      <c r="D12" t="s">
        <v>13</v>
      </c>
      <c r="E12" s="1">
        <f>SQRT(H12^2+I12^2)</f>
        <v>100</v>
      </c>
      <c r="F12" s="1">
        <f>G12*180/PI()</f>
        <v>90</v>
      </c>
      <c r="G12" s="1">
        <f>ACOS(H12/E12)</f>
        <v>1.5707963267948966</v>
      </c>
      <c r="H12" s="1">
        <f>SUM(H10:H11)</f>
        <v>0</v>
      </c>
      <c r="I12" s="1">
        <f>SUM(I10:I11)</f>
        <v>100</v>
      </c>
      <c r="K12" t="s">
        <v>16</v>
      </c>
      <c r="L12" s="2">
        <f>L10*L11</f>
        <v>0</v>
      </c>
      <c r="M12" s="2">
        <f>M10*M11</f>
        <v>57073.566800000015</v>
      </c>
      <c r="N12" s="2">
        <f>N10*N11</f>
        <v>3540.1480999999999</v>
      </c>
      <c r="O12" s="2">
        <f>O10*O11</f>
        <v>8969.1</v>
      </c>
      <c r="P12" s="2">
        <f>P10*P11</f>
        <v>0</v>
      </c>
      <c r="Q12" s="2">
        <f>SUM(L12:P12)</f>
        <v>69582.814900000012</v>
      </c>
      <c r="S12" t="s">
        <v>16</v>
      </c>
      <c r="T12" s="2">
        <f>T10*T11</f>
        <v>0</v>
      </c>
      <c r="U12" s="2">
        <f>U10*U11</f>
        <v>27979.936600000005</v>
      </c>
      <c r="V12" s="2">
        <f>V10*V11</f>
        <v>22529.894799999998</v>
      </c>
      <c r="W12" s="2">
        <f>W10*W11</f>
        <v>8448.2999999999993</v>
      </c>
      <c r="X12" s="2">
        <f>X10*X11</f>
        <v>0</v>
      </c>
      <c r="Y12" s="2">
        <f>SUM(T12:X12)</f>
        <v>58958.131399999998</v>
      </c>
    </row>
    <row r="13" spans="1:25" x14ac:dyDescent="0.3">
      <c r="A13">
        <f>(127+255)/2</f>
        <v>191</v>
      </c>
      <c r="F13" s="3">
        <f>F12-180</f>
        <v>-90</v>
      </c>
      <c r="L13" s="2"/>
      <c r="M13" s="2"/>
      <c r="N13" s="2"/>
      <c r="O13" s="2"/>
      <c r="P13" s="2"/>
      <c r="Q13" s="2"/>
      <c r="T13" s="2"/>
      <c r="U13" s="2"/>
      <c r="V13" s="2"/>
      <c r="W13" s="2"/>
      <c r="X13" s="2"/>
      <c r="Y13" s="2"/>
    </row>
    <row r="14" spans="1:25" x14ac:dyDescent="0.3">
      <c r="A14">
        <f>64+A13</f>
        <v>255</v>
      </c>
      <c r="L14" s="2"/>
      <c r="M14" s="2"/>
      <c r="N14" s="2"/>
      <c r="O14" s="2"/>
      <c r="P14" s="2"/>
      <c r="Q14" s="2"/>
      <c r="T14" s="2"/>
      <c r="U14" s="2"/>
      <c r="V14" s="2"/>
      <c r="W14" s="2"/>
      <c r="X14" s="2"/>
      <c r="Y14" s="2"/>
    </row>
    <row r="15" spans="1:25" x14ac:dyDescent="0.3">
      <c r="A15">
        <f>-64+A13</f>
        <v>127</v>
      </c>
      <c r="K15" t="s">
        <v>14</v>
      </c>
      <c r="L15" s="2">
        <v>151.74</v>
      </c>
      <c r="M15" s="2">
        <v>168.55</v>
      </c>
      <c r="N15" s="2">
        <v>172.43</v>
      </c>
      <c r="O15" s="2">
        <v>29.45</v>
      </c>
      <c r="P15" s="2">
        <v>140.09</v>
      </c>
      <c r="Q15" s="2">
        <f>SUM(L15:P15)</f>
        <v>662.2600000000001</v>
      </c>
      <c r="S15" t="s">
        <v>14</v>
      </c>
      <c r="T15" s="2">
        <v>65.73</v>
      </c>
      <c r="U15" s="2">
        <v>98.62</v>
      </c>
      <c r="V15" s="2">
        <v>63.02</v>
      </c>
      <c r="W15" s="2">
        <v>65.89</v>
      </c>
      <c r="X15" s="2"/>
      <c r="Y15" s="2">
        <f>SUM(T15:X15)</f>
        <v>293.26000000000005</v>
      </c>
    </row>
    <row r="16" spans="1:25" x14ac:dyDescent="0.3">
      <c r="A16">
        <f>191+64</f>
        <v>255</v>
      </c>
      <c r="K16" t="s">
        <v>15</v>
      </c>
      <c r="L16" s="2">
        <v>0</v>
      </c>
      <c r="M16" s="2">
        <v>38.76</v>
      </c>
      <c r="N16" s="2">
        <v>106.71</v>
      </c>
      <c r="O16" s="2">
        <v>141.01</v>
      </c>
      <c r="P16" s="2">
        <v>210</v>
      </c>
      <c r="Q16" s="2">
        <f>Q17/Q15</f>
        <v>88.340905082595953</v>
      </c>
      <c r="S16" t="s">
        <v>15</v>
      </c>
      <c r="T16" s="2">
        <v>0</v>
      </c>
      <c r="U16" s="2">
        <v>88.4</v>
      </c>
      <c r="V16" s="2">
        <v>124.1</v>
      </c>
      <c r="W16" s="2">
        <v>210</v>
      </c>
      <c r="X16" s="2">
        <v>210</v>
      </c>
      <c r="Y16" s="2">
        <f>Y17/Y15</f>
        <v>103.57938348223419</v>
      </c>
    </row>
    <row r="17" spans="3:25" x14ac:dyDescent="0.3">
      <c r="K17" t="s">
        <v>16</v>
      </c>
      <c r="L17" s="2">
        <f>L15*L16</f>
        <v>0</v>
      </c>
      <c r="M17" s="2">
        <f>M15*M16</f>
        <v>6532.9980000000005</v>
      </c>
      <c r="N17" s="2">
        <f>N15*N16</f>
        <v>18400.005300000001</v>
      </c>
      <c r="O17" s="2">
        <f>O15*O16</f>
        <v>4152.7444999999998</v>
      </c>
      <c r="P17" s="2">
        <f>P15*P16</f>
        <v>29418.9</v>
      </c>
      <c r="Q17" s="2">
        <f>SUM(L17:P17)</f>
        <v>58504.647800000006</v>
      </c>
      <c r="S17" t="s">
        <v>16</v>
      </c>
      <c r="T17" s="2">
        <f>T15*T16</f>
        <v>0</v>
      </c>
      <c r="U17" s="2">
        <f>U15*U16</f>
        <v>8718.0080000000016</v>
      </c>
      <c r="V17" s="2">
        <f>V15*V16</f>
        <v>7820.7820000000002</v>
      </c>
      <c r="W17" s="2">
        <f>W15*W16</f>
        <v>13836.9</v>
      </c>
      <c r="X17" s="2">
        <f>X15*X16</f>
        <v>0</v>
      </c>
      <c r="Y17" s="2">
        <f>SUM(T17:X17)</f>
        <v>30375.690000000002</v>
      </c>
    </row>
    <row r="18" spans="3:25" x14ac:dyDescent="0.3">
      <c r="L18" s="2"/>
      <c r="M18" s="2"/>
      <c r="N18" s="2"/>
      <c r="O18" s="2"/>
      <c r="P18" s="2"/>
      <c r="Q18" s="2"/>
      <c r="T18" s="2"/>
      <c r="U18" s="2"/>
      <c r="V18" s="2"/>
      <c r="W18" s="2"/>
      <c r="X18" s="2"/>
      <c r="Y18" s="2"/>
    </row>
    <row r="19" spans="3:25" x14ac:dyDescent="0.3">
      <c r="L19" s="2"/>
      <c r="M19" s="2"/>
      <c r="N19" s="2"/>
      <c r="O19" s="2"/>
      <c r="P19" s="2"/>
      <c r="Q19" s="2"/>
      <c r="T19" s="2"/>
      <c r="U19" s="2"/>
      <c r="V19" s="2"/>
      <c r="W19" s="2"/>
      <c r="X19" s="2"/>
      <c r="Y19" s="2"/>
    </row>
    <row r="21" spans="3:25" x14ac:dyDescent="0.3">
      <c r="D21" t="s">
        <v>26</v>
      </c>
      <c r="E21" t="s">
        <v>11</v>
      </c>
      <c r="F21" t="s">
        <v>19</v>
      </c>
      <c r="G21" t="s">
        <v>24</v>
      </c>
      <c r="H21" t="s">
        <v>25</v>
      </c>
      <c r="I21" t="s">
        <v>27</v>
      </c>
      <c r="L21" t="s">
        <v>29</v>
      </c>
      <c r="M21" t="s">
        <v>28</v>
      </c>
      <c r="P21" t="s">
        <v>26</v>
      </c>
      <c r="Q21" t="s">
        <v>11</v>
      </c>
      <c r="R21" t="s">
        <v>19</v>
      </c>
      <c r="S21" t="s">
        <v>24</v>
      </c>
      <c r="T21" t="s">
        <v>25</v>
      </c>
      <c r="U21" t="s">
        <v>27</v>
      </c>
      <c r="X21" t="s">
        <v>29</v>
      </c>
      <c r="Y21" t="s">
        <v>28</v>
      </c>
    </row>
    <row r="22" spans="3:25" x14ac:dyDescent="0.3">
      <c r="D22" s="1">
        <v>0</v>
      </c>
      <c r="E22" s="1">
        <v>0</v>
      </c>
      <c r="F22" s="1">
        <v>6</v>
      </c>
      <c r="G22" s="1">
        <f>E22-E22</f>
        <v>0</v>
      </c>
      <c r="H22" s="1">
        <f>F22-F22</f>
        <v>0</v>
      </c>
      <c r="I22" s="1">
        <f>D22*G22</f>
        <v>0</v>
      </c>
      <c r="J22" s="1"/>
      <c r="K22" s="1"/>
      <c r="L22" s="1">
        <f>E29</f>
        <v>14.999999999999996</v>
      </c>
      <c r="M22" s="1">
        <f>SQRT($G$29^2+L22^2)</f>
        <v>52.201532544552741</v>
      </c>
      <c r="N22" s="1"/>
      <c r="P22" s="1">
        <v>0</v>
      </c>
      <c r="Q22" s="1">
        <v>0</v>
      </c>
      <c r="R22" s="1">
        <v>0</v>
      </c>
      <c r="S22" s="1">
        <f>Q22-Q22</f>
        <v>0</v>
      </c>
      <c r="T22" s="1">
        <f>R22-R22</f>
        <v>0</v>
      </c>
      <c r="U22" s="1">
        <f>P22*S22</f>
        <v>0</v>
      </c>
      <c r="V22" s="1"/>
      <c r="W22" s="1"/>
      <c r="X22" s="1">
        <f>Q30</f>
        <v>21.439393939393938</v>
      </c>
      <c r="Y22" s="1">
        <f>SQRT($S$30^2+X22^2)</f>
        <v>47.000440172770311</v>
      </c>
    </row>
    <row r="23" spans="3:25" x14ac:dyDescent="0.3">
      <c r="D23" s="1">
        <v>20</v>
      </c>
      <c r="E23" s="1">
        <v>20</v>
      </c>
      <c r="F23" s="1">
        <v>0</v>
      </c>
      <c r="G23" s="1">
        <f>E23-E22</f>
        <v>20</v>
      </c>
      <c r="H23" s="1">
        <f>F23-F22</f>
        <v>-6</v>
      </c>
      <c r="I23" s="1">
        <f>D23*SUM(G22:G23)</f>
        <v>400</v>
      </c>
      <c r="J23" s="1"/>
      <c r="K23" s="1"/>
      <c r="L23" s="1">
        <f>L22-D23</f>
        <v>-5.0000000000000036</v>
      </c>
      <c r="M23" s="1">
        <f t="shared" ref="M23:M24" si="2">SQRT($G$29^2+L23^2)</f>
        <v>50.249378105604443</v>
      </c>
      <c r="N23" s="1"/>
      <c r="P23" s="1">
        <v>15</v>
      </c>
      <c r="Q23" s="1">
        <v>12</v>
      </c>
      <c r="R23" s="1">
        <v>-6.1510600000000002</v>
      </c>
      <c r="S23" s="1">
        <f>Q23-Q22</f>
        <v>12</v>
      </c>
      <c r="T23" s="1">
        <f>R23-R22</f>
        <v>-6.1510600000000002</v>
      </c>
      <c r="U23" s="1">
        <f>P23*SUM(S22:S23)</f>
        <v>180</v>
      </c>
      <c r="V23" s="1"/>
      <c r="W23" s="1"/>
      <c r="X23" s="1">
        <f>X22-P23</f>
        <v>6.4393939393939377</v>
      </c>
      <c r="Y23" s="1">
        <f>SQRT($S$30^2+X23^2)</f>
        <v>42.318548631213034</v>
      </c>
    </row>
    <row r="24" spans="3:25" x14ac:dyDescent="0.3">
      <c r="D24" s="1">
        <v>0</v>
      </c>
      <c r="E24" s="1">
        <v>20</v>
      </c>
      <c r="F24" s="1">
        <v>0</v>
      </c>
      <c r="G24" s="1">
        <f t="shared" ref="G24:G25" si="3">E24-E23</f>
        <v>0</v>
      </c>
      <c r="H24" s="1">
        <f t="shared" ref="H24:H25" si="4">F24-F23</f>
        <v>0</v>
      </c>
      <c r="I24" s="1">
        <f>D24*SUM(G22:G24)</f>
        <v>0</v>
      </c>
      <c r="J24" s="1"/>
      <c r="K24" s="1"/>
      <c r="L24" s="1">
        <f t="shared" ref="L24" si="5">L23-D24</f>
        <v>-5.0000000000000036</v>
      </c>
      <c r="M24" s="1">
        <f t="shared" si="2"/>
        <v>50.249378105604443</v>
      </c>
      <c r="N24" s="1"/>
      <c r="P24" s="1">
        <v>15</v>
      </c>
      <c r="Q24" s="1">
        <v>37</v>
      </c>
      <c r="R24" s="1">
        <v>-10</v>
      </c>
      <c r="S24" s="1">
        <f t="shared" ref="S24:S26" si="6">Q24-Q23</f>
        <v>25</v>
      </c>
      <c r="T24" s="1">
        <f t="shared" ref="T24:T26" si="7">R24-R23</f>
        <v>-3.8489399999999998</v>
      </c>
      <c r="U24" s="1">
        <f>P24*SUM(S22:S24)</f>
        <v>555</v>
      </c>
      <c r="V24" s="1"/>
      <c r="W24" s="1"/>
      <c r="X24" s="1">
        <f t="shared" ref="X24" si="8">X23-P24</f>
        <v>-8.5606060606060623</v>
      </c>
      <c r="Y24" s="1">
        <f>SQRT($S$30^2+X24^2)</f>
        <v>42.692830078018069</v>
      </c>
    </row>
    <row r="25" spans="3:25" x14ac:dyDescent="0.3">
      <c r="D25" s="1">
        <v>0</v>
      </c>
      <c r="E25" s="1">
        <v>30</v>
      </c>
      <c r="F25" s="1">
        <v>1</v>
      </c>
      <c r="G25" s="1">
        <f t="shared" si="3"/>
        <v>10</v>
      </c>
      <c r="H25" s="1">
        <f t="shared" si="4"/>
        <v>1</v>
      </c>
      <c r="I25" s="1">
        <f>D25*SUM(G22:G25)</f>
        <v>0</v>
      </c>
      <c r="J25" s="1"/>
      <c r="K25" s="1"/>
      <c r="L25" s="1"/>
      <c r="M25" s="1"/>
      <c r="N25" s="1"/>
      <c r="P25" s="1">
        <v>10</v>
      </c>
      <c r="Q25" s="1">
        <v>49</v>
      </c>
      <c r="R25" s="1">
        <v>-7.5439230000000004</v>
      </c>
      <c r="S25" s="1">
        <f t="shared" si="6"/>
        <v>12</v>
      </c>
      <c r="T25" s="1">
        <f t="shared" si="7"/>
        <v>2.4560769999999996</v>
      </c>
      <c r="U25" s="1">
        <f>P25*SUM(S22:S25)</f>
        <v>490</v>
      </c>
      <c r="V25" s="1"/>
      <c r="W25" s="1"/>
      <c r="X25" s="1">
        <f t="shared" ref="X25" si="9">X24-P25</f>
        <v>-18.560606060606062</v>
      </c>
      <c r="Y25" s="1">
        <f>SQRT($S$30^2+X25^2)</f>
        <v>45.759041306419938</v>
      </c>
    </row>
    <row r="26" spans="3:25" x14ac:dyDescent="0.3">
      <c r="C26" t="s">
        <v>18</v>
      </c>
      <c r="D26" s="1">
        <f>SUM(D23:D24)</f>
        <v>20</v>
      </c>
      <c r="E26" s="1"/>
      <c r="F26" s="1"/>
      <c r="G26" s="1">
        <f>SUM(G22:G25)</f>
        <v>30</v>
      </c>
      <c r="H26" s="1">
        <f>SUM(H22:H25)</f>
        <v>-5</v>
      </c>
      <c r="I26" s="1">
        <f>SUM(I22:I25)</f>
        <v>400</v>
      </c>
      <c r="J26" s="1"/>
      <c r="K26" s="1"/>
      <c r="L26" s="1"/>
      <c r="M26" s="1"/>
      <c r="N26" s="1"/>
      <c r="P26" s="1">
        <v>0</v>
      </c>
      <c r="Q26" s="1">
        <v>66</v>
      </c>
      <c r="R26" s="1">
        <v>0</v>
      </c>
      <c r="S26" s="1">
        <f t="shared" si="6"/>
        <v>17</v>
      </c>
      <c r="T26" s="1">
        <f t="shared" si="7"/>
        <v>7.5439230000000004</v>
      </c>
      <c r="U26" s="1">
        <f>P26*SUM(S22:S26)</f>
        <v>0</v>
      </c>
      <c r="V26" s="1"/>
      <c r="W26" s="1"/>
      <c r="X26" s="1"/>
      <c r="Y26" s="1"/>
    </row>
    <row r="27" spans="3:25" x14ac:dyDescent="0.3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t="s">
        <v>18</v>
      </c>
      <c r="P27" s="1">
        <f>SUM(P23:P25)</f>
        <v>40</v>
      </c>
      <c r="Q27" s="1"/>
      <c r="R27" s="1"/>
      <c r="S27" s="1">
        <f>SUM(S22:S26)</f>
        <v>66</v>
      </c>
      <c r="T27" s="1">
        <f>SUM(T22:T26)</f>
        <v>0</v>
      </c>
      <c r="U27" s="1">
        <f>SUM(U22:U26)</f>
        <v>1225</v>
      </c>
      <c r="V27" s="1"/>
      <c r="W27" s="1"/>
      <c r="X27" s="1"/>
      <c r="Y27" s="1"/>
    </row>
    <row r="28" spans="3:25" x14ac:dyDescent="0.3">
      <c r="E28" s="1" t="s">
        <v>20</v>
      </c>
      <c r="F28" s="1" t="s">
        <v>21</v>
      </c>
      <c r="G28" s="1" t="s">
        <v>22</v>
      </c>
      <c r="H28" s="1" t="s">
        <v>23</v>
      </c>
      <c r="I28" s="1"/>
      <c r="J28" s="1"/>
      <c r="K28" s="1"/>
      <c r="L28" s="1"/>
      <c r="M28" s="1"/>
      <c r="N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3:25" x14ac:dyDescent="0.3">
      <c r="D29" s="1"/>
      <c r="E29" s="1">
        <f>(D26-I26/G26)/(1-H26/G26*G23/H23)</f>
        <v>14.999999999999996</v>
      </c>
      <c r="F29" s="1">
        <f>D26-E29</f>
        <v>5.0000000000000036</v>
      </c>
      <c r="G29" s="1">
        <f>G23/H23*E29</f>
        <v>-49.999999999999993</v>
      </c>
      <c r="H29" s="1">
        <f>-G29</f>
        <v>49.999999999999993</v>
      </c>
      <c r="I29" s="1"/>
      <c r="J29" s="1"/>
      <c r="K29" s="1"/>
      <c r="L29" s="1"/>
      <c r="M29" s="1"/>
      <c r="N29" s="1"/>
      <c r="Q29" s="1" t="s">
        <v>20</v>
      </c>
      <c r="R29" s="1" t="s">
        <v>21</v>
      </c>
      <c r="S29" s="1" t="s">
        <v>22</v>
      </c>
      <c r="T29" s="1" t="s">
        <v>23</v>
      </c>
      <c r="U29" s="1"/>
      <c r="V29" s="1"/>
      <c r="W29" s="1"/>
      <c r="X29" s="1"/>
      <c r="Y29" s="1"/>
    </row>
    <row r="30" spans="3:25" x14ac:dyDescent="0.3">
      <c r="D30" s="1"/>
      <c r="E30" s="1">
        <f>D26/(1-H25/G25*G23/H23)</f>
        <v>15</v>
      </c>
      <c r="F30" s="1">
        <f>D26-E30</f>
        <v>5</v>
      </c>
      <c r="G30" s="1">
        <f>E30*G23/H23</f>
        <v>-50</v>
      </c>
      <c r="H30" s="1">
        <f>-G30</f>
        <v>50</v>
      </c>
      <c r="I30" s="1"/>
      <c r="J30" s="1"/>
      <c r="K30" s="1"/>
      <c r="L30" s="1"/>
      <c r="M30" s="1"/>
      <c r="N30" s="1"/>
      <c r="P30" s="1"/>
      <c r="Q30" s="1">
        <f>(P27-U27/S27)/(1-T27/S27*S23/T23)</f>
        <v>21.439393939393938</v>
      </c>
      <c r="R30" s="1">
        <f>P27-Q30</f>
        <v>18.560606060606062</v>
      </c>
      <c r="S30" s="1">
        <f>S23/T23*Q30</f>
        <v>-41.825754792300394</v>
      </c>
      <c r="T30" s="1">
        <f>-S30</f>
        <v>41.825754792300394</v>
      </c>
      <c r="U30" s="1"/>
      <c r="V30" s="1"/>
      <c r="W30" s="1"/>
      <c r="X30" s="1"/>
      <c r="Y30" s="1"/>
    </row>
    <row r="31" spans="3:25" x14ac:dyDescent="0.3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P31" s="1"/>
      <c r="Q31" s="1">
        <f>P27/(1-T26/S26*S23/T23)</f>
        <v>21.439394868233901</v>
      </c>
      <c r="R31" s="1">
        <f>P27-Q31</f>
        <v>18.560605131766099</v>
      </c>
      <c r="S31" s="1">
        <f>Q31*S23/T23</f>
        <v>-41.825756604358723</v>
      </c>
      <c r="T31" s="1">
        <f>-S31</f>
        <v>41.825756604358723</v>
      </c>
      <c r="U31" s="1"/>
      <c r="V31" s="1"/>
      <c r="W31" s="1"/>
      <c r="X31" s="1"/>
      <c r="Y31" s="1"/>
    </row>
    <row r="32" spans="3:25" x14ac:dyDescent="0.3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4:25" x14ac:dyDescent="0.3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4:25" x14ac:dyDescent="0.3">
      <c r="D34" s="1"/>
      <c r="E34" s="1">
        <f>-H29*H26+F29*G26-D23*G23-D24*SUM(G23:G24)</f>
        <v>1.1368683772161603E-13</v>
      </c>
      <c r="F34" s="1"/>
      <c r="G34" s="1"/>
      <c r="H34" s="1"/>
      <c r="I34" s="1"/>
      <c r="J34" s="1"/>
      <c r="K34" s="1"/>
      <c r="L34" s="1"/>
      <c r="M34" s="1"/>
      <c r="N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4:25" x14ac:dyDescent="0.3">
      <c r="D35" s="1"/>
      <c r="E35" s="1">
        <f>-H30*H26+F30*G26-I26</f>
        <v>0</v>
      </c>
      <c r="F35" s="1"/>
      <c r="G35" s="1"/>
      <c r="H35" s="1"/>
      <c r="I35" s="1"/>
      <c r="J35" s="1"/>
      <c r="K35" s="1"/>
      <c r="L35" s="1"/>
      <c r="M35" s="1"/>
      <c r="N35" s="1"/>
      <c r="P35" s="1"/>
      <c r="Q35" s="1">
        <f>-T30*T27+R30*S27-P23*Q23-P24*Q24-P25*Q25</f>
        <v>0</v>
      </c>
      <c r="R35" s="1">
        <f>-T30*T27+R30*S27-U27</f>
        <v>0</v>
      </c>
      <c r="S35" s="1"/>
      <c r="T35" s="1"/>
      <c r="U35" s="1"/>
      <c r="V35" s="1"/>
      <c r="W35" s="1"/>
      <c r="X35" s="1"/>
      <c r="Y35" s="1"/>
    </row>
    <row r="36" spans="4:25" x14ac:dyDescent="0.3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Q36" s="1">
        <f>-T31*T27+R31*S27-P23*Q23-P24*Q24-P25*Q25</f>
        <v>-6.130343740551325E-5</v>
      </c>
      <c r="R36" s="1">
        <f>-T31*T27+R31*S27-U27</f>
        <v>-6.130343740551325E-5</v>
      </c>
      <c r="S36" s="1"/>
      <c r="T36" s="1"/>
      <c r="U36" s="1"/>
      <c r="V36" s="1"/>
      <c r="W36" s="1"/>
      <c r="X36" s="1"/>
      <c r="Y36" s="1"/>
    </row>
    <row r="37" spans="4:2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4:25" x14ac:dyDescent="0.3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4:25" x14ac:dyDescent="0.3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4:25" x14ac:dyDescent="0.3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4:25" x14ac:dyDescent="0.3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4:25" x14ac:dyDescent="0.3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4" spans="4:25" x14ac:dyDescent="0.3">
      <c r="D44" t="s">
        <v>26</v>
      </c>
      <c r="E44" t="s">
        <v>11</v>
      </c>
      <c r="F44" t="s">
        <v>19</v>
      </c>
      <c r="G44" t="s">
        <v>24</v>
      </c>
      <c r="H44" t="s">
        <v>25</v>
      </c>
      <c r="I44" t="s">
        <v>27</v>
      </c>
      <c r="L44" t="s">
        <v>29</v>
      </c>
      <c r="M44" t="s">
        <v>28</v>
      </c>
      <c r="P44" t="s">
        <v>26</v>
      </c>
      <c r="Q44" t="s">
        <v>11</v>
      </c>
      <c r="R44" t="s">
        <v>19</v>
      </c>
      <c r="S44" t="s">
        <v>24</v>
      </c>
      <c r="T44" t="s">
        <v>25</v>
      </c>
      <c r="U44" t="s">
        <v>27</v>
      </c>
      <c r="X44" t="s">
        <v>29</v>
      </c>
      <c r="Y44" t="s">
        <v>28</v>
      </c>
    </row>
    <row r="45" spans="4:25" x14ac:dyDescent="0.3">
      <c r="D45" s="1">
        <v>0</v>
      </c>
      <c r="E45" s="1">
        <v>0</v>
      </c>
      <c r="F45" s="1">
        <v>1</v>
      </c>
      <c r="G45" s="1">
        <f>E45-E45</f>
        <v>0</v>
      </c>
      <c r="H45" s="1">
        <f>F45-F45</f>
        <v>0</v>
      </c>
      <c r="I45" s="1">
        <f>D45*G45</f>
        <v>0</v>
      </c>
      <c r="L45" s="1">
        <f>E52</f>
        <v>5</v>
      </c>
      <c r="M45" s="1">
        <f>SQRT($G$52^2+L45^2)</f>
        <v>15.811388300841896</v>
      </c>
      <c r="N45" s="1"/>
      <c r="P45" s="1">
        <v>0</v>
      </c>
      <c r="Q45" s="1">
        <v>-327.5</v>
      </c>
      <c r="R45" s="1">
        <v>447.5</v>
      </c>
      <c r="S45" s="1">
        <f>Q45-Q45</f>
        <v>0</v>
      </c>
      <c r="T45" s="1">
        <f>R45-R45</f>
        <v>0</v>
      </c>
      <c r="U45" s="1">
        <f>P45*S45</f>
        <v>0</v>
      </c>
      <c r="X45" s="1">
        <f>Q57</f>
        <v>521.45810021623799</v>
      </c>
      <c r="Y45" s="1">
        <f>SQRT($S$57^2+X45^2)</f>
        <v>600.54759221068468</v>
      </c>
    </row>
    <row r="46" spans="4:25" x14ac:dyDescent="0.3">
      <c r="D46" s="1">
        <v>6</v>
      </c>
      <c r="E46" s="1">
        <v>3</v>
      </c>
      <c r="F46" s="1">
        <v>0</v>
      </c>
      <c r="G46" s="1">
        <f>E46-E45</f>
        <v>3</v>
      </c>
      <c r="H46" s="1">
        <f>F46-F45</f>
        <v>-1</v>
      </c>
      <c r="I46" s="1">
        <f>D46*SUM(G45:G46)</f>
        <v>18</v>
      </c>
      <c r="L46" s="1">
        <f>L45-D46</f>
        <v>-1</v>
      </c>
      <c r="M46" s="1">
        <f>SQRT($G$52^2+L46^2)</f>
        <v>15.033296378372908</v>
      </c>
      <c r="N46" s="1"/>
      <c r="P46" s="1">
        <v>193.46</v>
      </c>
      <c r="Q46" s="1">
        <v>-232.79</v>
      </c>
      <c r="R46" s="1">
        <v>281.70999999999998</v>
      </c>
      <c r="S46" s="1">
        <f>Q46-Q45</f>
        <v>94.710000000000008</v>
      </c>
      <c r="T46" s="1">
        <f>R46-R45</f>
        <v>-165.79000000000002</v>
      </c>
      <c r="U46" s="1">
        <f>P46*SUM(S45:S46)</f>
        <v>18322.596600000001</v>
      </c>
      <c r="X46" s="1">
        <f>X45-P46</f>
        <v>327.99810021623796</v>
      </c>
      <c r="Y46" s="1">
        <f>SQRT($S$57^2+X46^2)</f>
        <v>443.08194950187709</v>
      </c>
    </row>
    <row r="47" spans="4:25" x14ac:dyDescent="0.3">
      <c r="D47" s="1">
        <v>3</v>
      </c>
      <c r="E47" s="1">
        <v>6</v>
      </c>
      <c r="F47" s="1">
        <v>0.2</v>
      </c>
      <c r="G47" s="1">
        <f t="shared" ref="G47:G48" si="10">E47-E46</f>
        <v>3</v>
      </c>
      <c r="H47" s="1">
        <f t="shared" ref="H47:H48" si="11">F47-F46</f>
        <v>0.2</v>
      </c>
      <c r="I47" s="1">
        <f>D47*SUM(G45:G47)</f>
        <v>18</v>
      </c>
      <c r="L47" s="1">
        <f>L46-D47</f>
        <v>-4</v>
      </c>
      <c r="M47" s="1">
        <f>SQRT($G$52^2+L47^2)</f>
        <v>15.524174696260024</v>
      </c>
      <c r="P47" s="1">
        <v>130.02000000000001</v>
      </c>
      <c r="Q47" s="1">
        <v>-156.86000000000001</v>
      </c>
      <c r="R47" s="1">
        <v>198.1</v>
      </c>
      <c r="S47" s="1">
        <f t="shared" ref="S47:S49" si="12">Q47-Q46</f>
        <v>75.929999999999978</v>
      </c>
      <c r="T47" s="1">
        <f t="shared" ref="T47:T49" si="13">R47-R46</f>
        <v>-83.609999999999985</v>
      </c>
      <c r="U47" s="1">
        <f>P47*SUM(S45:S47)</f>
        <v>22186.612799999999</v>
      </c>
      <c r="X47" s="1">
        <f t="shared" ref="X47:X48" si="14">X46-P47</f>
        <v>197.97810021623795</v>
      </c>
      <c r="Y47" s="1">
        <f>SQRT($S$57^2+X47^2)</f>
        <v>357.67889005944068</v>
      </c>
    </row>
    <row r="48" spans="4:25" x14ac:dyDescent="0.3">
      <c r="D48" s="1">
        <v>0</v>
      </c>
      <c r="E48" s="1">
        <v>9</v>
      </c>
      <c r="F48" s="1">
        <v>1</v>
      </c>
      <c r="G48" s="1">
        <f t="shared" si="10"/>
        <v>3</v>
      </c>
      <c r="H48" s="1">
        <f t="shared" si="11"/>
        <v>0.8</v>
      </c>
      <c r="I48" s="1">
        <f>D48*SUM(G46:G48)</f>
        <v>0</v>
      </c>
      <c r="P48" s="1">
        <v>138.63999999999999</v>
      </c>
      <c r="Q48" s="1">
        <v>-75.52</v>
      </c>
      <c r="R48" s="1">
        <v>144.05000000000001</v>
      </c>
      <c r="S48" s="1">
        <f t="shared" si="12"/>
        <v>81.340000000000018</v>
      </c>
      <c r="T48" s="1">
        <f t="shared" si="13"/>
        <v>-54.049999999999983</v>
      </c>
      <c r="U48" s="1">
        <f>P48*SUM(S45:S48)</f>
        <v>34934.5072</v>
      </c>
      <c r="X48" s="1">
        <f t="shared" si="14"/>
        <v>59.338100216237962</v>
      </c>
      <c r="Y48" s="1">
        <f>SQRT($S$57^2+X48^2)</f>
        <v>303.7430992898357</v>
      </c>
    </row>
    <row r="49" spans="3:25" x14ac:dyDescent="0.3">
      <c r="C49" t="s">
        <v>18</v>
      </c>
      <c r="D49" s="1">
        <f>SUM(D46:D47)</f>
        <v>9</v>
      </c>
      <c r="E49" s="1"/>
      <c r="F49" s="1"/>
      <c r="G49" s="1">
        <f>SUM(G45:G48)</f>
        <v>9</v>
      </c>
      <c r="H49" s="1">
        <f>SUM(H45:H48)</f>
        <v>0</v>
      </c>
      <c r="I49" s="1">
        <f>SUM(I45:I48)</f>
        <v>36</v>
      </c>
      <c r="P49" s="1">
        <v>118.34</v>
      </c>
      <c r="Q49" s="1">
        <v>-0.99</v>
      </c>
      <c r="R49" s="1">
        <v>129.19999999999999</v>
      </c>
      <c r="S49" s="1">
        <f t="shared" si="12"/>
        <v>74.53</v>
      </c>
      <c r="T49" s="1">
        <f t="shared" si="13"/>
        <v>-14.850000000000023</v>
      </c>
      <c r="U49" s="1">
        <f>P49*SUM(S45:S49)</f>
        <v>38639.193399999996</v>
      </c>
      <c r="X49" s="1">
        <f t="shared" ref="X49:X53" si="15">X48-P49</f>
        <v>-59.001899783762042</v>
      </c>
      <c r="Y49" s="1">
        <f t="shared" ref="Y49:Y53" si="16">SQRT($S$57^2+X49^2)</f>
        <v>303.67759944884938</v>
      </c>
    </row>
    <row r="50" spans="3:25" x14ac:dyDescent="0.3">
      <c r="D50" s="1"/>
      <c r="E50" s="1"/>
      <c r="F50" s="1"/>
      <c r="G50" s="1"/>
      <c r="H50" s="1"/>
      <c r="I50" s="1"/>
      <c r="P50" s="1">
        <v>28.77</v>
      </c>
      <c r="Q50" s="1">
        <v>87.25</v>
      </c>
      <c r="R50" s="1">
        <v>146.68</v>
      </c>
      <c r="S50" s="1">
        <f t="shared" ref="S50:S53" si="17">Q50-Q49</f>
        <v>88.24</v>
      </c>
      <c r="T50" s="1">
        <f t="shared" ref="T50:T53" si="18">R50-R49</f>
        <v>17.480000000000018</v>
      </c>
      <c r="U50" s="1">
        <f>P50*SUM(S45:S50)</f>
        <v>11932.3575</v>
      </c>
      <c r="X50" s="1">
        <f t="shared" si="15"/>
        <v>-87.771899783762038</v>
      </c>
      <c r="Y50" s="1">
        <f t="shared" si="16"/>
        <v>310.55235729353831</v>
      </c>
    </row>
    <row r="51" spans="3:25" x14ac:dyDescent="0.3">
      <c r="D51" s="1"/>
      <c r="E51" s="1" t="s">
        <v>20</v>
      </c>
      <c r="F51" s="1" t="s">
        <v>21</v>
      </c>
      <c r="G51" s="1" t="s">
        <v>22</v>
      </c>
      <c r="H51" s="1" t="s">
        <v>23</v>
      </c>
      <c r="I51" s="1"/>
      <c r="P51" s="1">
        <v>121.84</v>
      </c>
      <c r="Q51" s="1">
        <v>182.23</v>
      </c>
      <c r="R51" s="1">
        <v>174.67</v>
      </c>
      <c r="S51" s="1">
        <f t="shared" si="17"/>
        <v>94.97999999999999</v>
      </c>
      <c r="T51" s="1">
        <f t="shared" si="18"/>
        <v>27.989999999999981</v>
      </c>
      <c r="U51" s="1">
        <f>P51*SUM(S45:S51)</f>
        <v>62105.503200000006</v>
      </c>
      <c r="X51" s="1">
        <f t="shared" si="15"/>
        <v>-209.61189978376206</v>
      </c>
      <c r="Y51" s="1">
        <f t="shared" si="16"/>
        <v>364.24718085371728</v>
      </c>
    </row>
    <row r="52" spans="3:25" x14ac:dyDescent="0.3">
      <c r="D52" s="1"/>
      <c r="E52" s="1">
        <f>(D49-I49/G49)/(1-H49/G49*G46/H46)</f>
        <v>5</v>
      </c>
      <c r="F52" s="1">
        <f>D49-E52</f>
        <v>4</v>
      </c>
      <c r="G52" s="1">
        <f>G46/H46*E52</f>
        <v>-15</v>
      </c>
      <c r="H52" s="1">
        <f>-G52</f>
        <v>15</v>
      </c>
      <c r="I52" s="1"/>
      <c r="P52" s="1">
        <v>49</v>
      </c>
      <c r="Q52" s="1">
        <v>233.11</v>
      </c>
      <c r="R52" s="1">
        <v>210.47</v>
      </c>
      <c r="S52" s="1">
        <f t="shared" si="17"/>
        <v>50.880000000000024</v>
      </c>
      <c r="T52" s="1">
        <f t="shared" si="18"/>
        <v>35.800000000000011</v>
      </c>
      <c r="U52" s="1">
        <f>P52*SUM(S45:S52)</f>
        <v>27469.89</v>
      </c>
      <c r="X52" s="1">
        <f t="shared" si="15"/>
        <v>-258.61189978376206</v>
      </c>
      <c r="Y52" s="1">
        <f t="shared" si="16"/>
        <v>394.48570942264723</v>
      </c>
    </row>
    <row r="53" spans="3:25" x14ac:dyDescent="0.3">
      <c r="D53" s="1"/>
      <c r="E53" s="1">
        <f>D49/(1-H48/G48*G46/H46)</f>
        <v>5</v>
      </c>
      <c r="F53" s="1">
        <f>D49-E53</f>
        <v>4</v>
      </c>
      <c r="G53" s="1">
        <f>E53*G46/H46</f>
        <v>-15</v>
      </c>
      <c r="H53" s="1">
        <f>-G53</f>
        <v>15</v>
      </c>
      <c r="I53" s="1"/>
      <c r="P53" s="1">
        <v>0</v>
      </c>
      <c r="Q53" s="1">
        <v>327.5</v>
      </c>
      <c r="R53" s="1">
        <v>292.41000000000003</v>
      </c>
      <c r="S53" s="1">
        <f t="shared" si="17"/>
        <v>94.389999999999986</v>
      </c>
      <c r="T53" s="1">
        <f t="shared" si="18"/>
        <v>81.940000000000026</v>
      </c>
      <c r="U53" s="1">
        <f>P53*SUM(S45:S53)</f>
        <v>0</v>
      </c>
      <c r="X53" s="1"/>
      <c r="Y53" s="1"/>
    </row>
    <row r="54" spans="3:25" x14ac:dyDescent="0.3">
      <c r="E54" s="1"/>
      <c r="F54" s="1"/>
      <c r="G54" s="1"/>
      <c r="H54" s="1"/>
      <c r="I54" s="1"/>
      <c r="O54" t="s">
        <v>18</v>
      </c>
      <c r="P54" s="1">
        <f>SUM(P45:P53)</f>
        <v>780.07</v>
      </c>
      <c r="Q54" s="1"/>
      <c r="R54" s="1"/>
      <c r="S54" s="1">
        <f>SUM(S45:S53)</f>
        <v>655</v>
      </c>
      <c r="T54" s="1">
        <f>SUM(T45:T53)</f>
        <v>-155.09</v>
      </c>
      <c r="U54" s="1">
        <f>SUM(U45:U53)</f>
        <v>215590.66070000001</v>
      </c>
    </row>
    <row r="55" spans="3:25" x14ac:dyDescent="0.3">
      <c r="D55" s="1"/>
      <c r="E55" s="1"/>
      <c r="F55" s="1"/>
      <c r="G55" s="1"/>
      <c r="H55" s="1"/>
      <c r="I55" s="1"/>
      <c r="P55" s="1"/>
      <c r="Q55" s="1"/>
      <c r="R55" s="1"/>
      <c r="S55" s="1"/>
      <c r="T55" s="1"/>
      <c r="U55" s="1"/>
    </row>
    <row r="56" spans="3:25" x14ac:dyDescent="0.3">
      <c r="D56" s="1"/>
      <c r="E56" s="1"/>
      <c r="F56" s="1"/>
      <c r="G56" s="1"/>
      <c r="H56" s="1"/>
      <c r="I56" s="1"/>
      <c r="Q56" s="1" t="s">
        <v>20</v>
      </c>
      <c r="R56" s="1" t="s">
        <v>21</v>
      </c>
      <c r="S56" s="1" t="s">
        <v>22</v>
      </c>
      <c r="T56" s="1" t="s">
        <v>23</v>
      </c>
      <c r="U56" s="1"/>
    </row>
    <row r="57" spans="3:25" x14ac:dyDescent="0.3">
      <c r="D57" s="1"/>
      <c r="E57" s="1">
        <f>-H52*H49+F52*G49-D46*G46-D47*SUM(G46:G47)</f>
        <v>0</v>
      </c>
      <c r="F57" s="1"/>
      <c r="G57" s="1"/>
      <c r="H57" s="1"/>
      <c r="I57" s="1"/>
      <c r="P57" s="1"/>
      <c r="Q57" s="1">
        <f>(P54-U54/S54)/(1-T54/S54*S46/T46)</f>
        <v>521.45810021623799</v>
      </c>
      <c r="R57" s="1">
        <f>P54-Q57</f>
        <v>258.61189978376206</v>
      </c>
      <c r="S57" s="1">
        <f>S46/T46*Q57</f>
        <v>-297.8906850321485</v>
      </c>
      <c r="T57" s="1">
        <f>-S57</f>
        <v>297.8906850321485</v>
      </c>
      <c r="U57" s="1"/>
    </row>
    <row r="58" spans="3:25" x14ac:dyDescent="0.3">
      <c r="D58" s="1"/>
      <c r="E58" s="1">
        <f>-H53*H49+F53*G49-I49</f>
        <v>0</v>
      </c>
      <c r="F58" s="1"/>
      <c r="G58" s="1"/>
      <c r="H58" s="1"/>
      <c r="I58" s="1"/>
      <c r="P58" s="1"/>
      <c r="Q58" s="1">
        <f>P54/(1-T53/S53*S46/T46)</f>
        <v>521.46670144749839</v>
      </c>
      <c r="R58" s="1">
        <f>P54-Q58</f>
        <v>258.60329855250166</v>
      </c>
      <c r="S58" s="1">
        <f>Q58*S46/T46</f>
        <v>-297.89559861326114</v>
      </c>
      <c r="T58" s="1">
        <f>-S58</f>
        <v>297.89559861326114</v>
      </c>
      <c r="U58" s="1"/>
    </row>
    <row r="59" spans="3:25" x14ac:dyDescent="0.3">
      <c r="D59" s="1"/>
      <c r="I59" s="1"/>
      <c r="P59" s="1"/>
      <c r="Q59" s="1"/>
      <c r="R59" s="1"/>
      <c r="S59" s="1"/>
      <c r="T59" s="1"/>
      <c r="U59" s="1"/>
    </row>
    <row r="60" spans="3:25" x14ac:dyDescent="0.3">
      <c r="D60" s="1"/>
      <c r="I60" s="1"/>
      <c r="P60" s="1"/>
      <c r="Q60" s="1"/>
      <c r="R60" s="1"/>
      <c r="S60" s="1"/>
      <c r="T60" s="1"/>
      <c r="U60" s="1"/>
    </row>
    <row r="61" spans="3:25" x14ac:dyDescent="0.3">
      <c r="D61" s="1"/>
      <c r="I61" s="1"/>
      <c r="P61" s="1"/>
      <c r="Q61" s="1">
        <f>-T57*T54+R57*S54-U54</f>
        <v>0</v>
      </c>
      <c r="R61" s="1">
        <f>-T57*T54+R57*S54-U54</f>
        <v>0</v>
      </c>
      <c r="S61" s="1"/>
      <c r="T61" s="1"/>
      <c r="U61" s="1"/>
    </row>
    <row r="62" spans="3:25" x14ac:dyDescent="0.3">
      <c r="P62" s="1"/>
      <c r="Q62" s="1">
        <f>-T58*T54+R58*S54-U54</f>
        <v>-4.8717591807653662</v>
      </c>
      <c r="R62" s="1">
        <f>-T58*T54+R58*S54-U54</f>
        <v>-4.8717591807653662</v>
      </c>
      <c r="S62" s="1"/>
      <c r="T62" s="1"/>
      <c r="U6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ironbell</dc:creator>
  <cp:lastModifiedBy>ironbell</cp:lastModifiedBy>
  <dcterms:created xsi:type="dcterms:W3CDTF">2020-03-18T13:14:15Z</dcterms:created>
  <dcterms:modified xsi:type="dcterms:W3CDTF">2020-04-11T14:54:12Z</dcterms:modified>
</cp:coreProperties>
</file>