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neDrive - 경남대학교\GitHub\sms\"/>
    </mc:Choice>
  </mc:AlternateContent>
  <bookViews>
    <workbookView xWindow="-120" yWindow="-120" windowWidth="29040" windowHeight="16440" activeTab="3"/>
  </bookViews>
  <sheets>
    <sheet name="Sheet1" sheetId="1" r:id="rId1"/>
    <sheet name="bending experiment" sheetId="2" r:id="rId2"/>
    <sheet name="based on stress" sheetId="3" r:id="rId3"/>
    <sheet name="load-displacement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4" l="1"/>
  <c r="L2" i="4"/>
  <c r="B2" i="4"/>
  <c r="V13" i="4" s="1"/>
  <c r="V54" i="4"/>
  <c r="V34" i="4"/>
  <c r="V35" i="4"/>
  <c r="V36" i="4"/>
  <c r="V16" i="4"/>
  <c r="V9" i="4"/>
  <c r="U44" i="4"/>
  <c r="V44" i="4" s="1"/>
  <c r="U40" i="4"/>
  <c r="V40" i="4" s="1"/>
  <c r="U26" i="4"/>
  <c r="V26" i="4" s="1"/>
  <c r="U25" i="4"/>
  <c r="U24" i="4"/>
  <c r="U23" i="4"/>
  <c r="U22" i="4"/>
  <c r="U47" i="4" s="1"/>
  <c r="V47" i="4" s="1"/>
  <c r="U21" i="4"/>
  <c r="U20" i="4"/>
  <c r="T34" i="4"/>
  <c r="T35" i="4"/>
  <c r="T36" i="4"/>
  <c r="R34" i="4"/>
  <c r="R35" i="4"/>
  <c r="R36" i="4"/>
  <c r="P34" i="4"/>
  <c r="P35" i="4"/>
  <c r="P36" i="4"/>
  <c r="N34" i="4"/>
  <c r="N35" i="4"/>
  <c r="N36" i="4"/>
  <c r="L53" i="4"/>
  <c r="L34" i="4"/>
  <c r="L35" i="4"/>
  <c r="L36" i="4"/>
  <c r="S42" i="4"/>
  <c r="T42" i="4" s="1"/>
  <c r="S38" i="4"/>
  <c r="T38" i="4" s="1"/>
  <c r="Q44" i="4"/>
  <c r="R44" i="4" s="1"/>
  <c r="Q40" i="4"/>
  <c r="R40" i="4" s="1"/>
  <c r="O42" i="4"/>
  <c r="P42" i="4" s="1"/>
  <c r="O38" i="4"/>
  <c r="P38" i="4" s="1"/>
  <c r="M44" i="4"/>
  <c r="N44" i="4" s="1"/>
  <c r="M40" i="4"/>
  <c r="N40" i="4" s="1"/>
  <c r="K48" i="4"/>
  <c r="K41" i="4"/>
  <c r="L41" i="4" s="1"/>
  <c r="K37" i="4"/>
  <c r="L37" i="4" s="1"/>
  <c r="J34" i="4"/>
  <c r="J35" i="4"/>
  <c r="J36" i="4"/>
  <c r="I43" i="4"/>
  <c r="J43" i="4" s="1"/>
  <c r="I39" i="4"/>
  <c r="J39" i="4" s="1"/>
  <c r="H34" i="4"/>
  <c r="H35" i="4"/>
  <c r="H36" i="4"/>
  <c r="G43" i="4"/>
  <c r="H43" i="4" s="1"/>
  <c r="G39" i="4"/>
  <c r="H39" i="4" s="1"/>
  <c r="F34" i="4"/>
  <c r="F35" i="4"/>
  <c r="F36" i="4"/>
  <c r="E45" i="4"/>
  <c r="F45" i="4" s="1"/>
  <c r="E41" i="4"/>
  <c r="F41" i="4" s="1"/>
  <c r="E37" i="4"/>
  <c r="F37" i="4" s="1"/>
  <c r="D34" i="4"/>
  <c r="D35" i="4"/>
  <c r="D36" i="4"/>
  <c r="C38" i="4"/>
  <c r="D38" i="4" s="1"/>
  <c r="C39" i="4"/>
  <c r="D39" i="4" s="1"/>
  <c r="C42" i="4"/>
  <c r="D42" i="4" s="1"/>
  <c r="C43" i="4"/>
  <c r="D43" i="4" s="1"/>
  <c r="C51" i="4"/>
  <c r="D51" i="4" s="1"/>
  <c r="C37" i="4"/>
  <c r="B54" i="4"/>
  <c r="T54" i="4" s="1"/>
  <c r="B53" i="4"/>
  <c r="J53" i="4" s="1"/>
  <c r="B52" i="4"/>
  <c r="R52" i="4" s="1"/>
  <c r="B51" i="4"/>
  <c r="B50" i="4"/>
  <c r="B49" i="4"/>
  <c r="B48" i="4"/>
  <c r="B47" i="4"/>
  <c r="B46" i="4"/>
  <c r="B45" i="4"/>
  <c r="T10" i="4"/>
  <c r="T11" i="4"/>
  <c r="T14" i="4"/>
  <c r="T15" i="4"/>
  <c r="T18" i="4"/>
  <c r="T19" i="4"/>
  <c r="S26" i="4"/>
  <c r="S25" i="4"/>
  <c r="S50" i="4" s="1"/>
  <c r="T50" i="4" s="1"/>
  <c r="S24" i="4"/>
  <c r="S23" i="4"/>
  <c r="S22" i="4"/>
  <c r="S47" i="4" s="1"/>
  <c r="T47" i="4" s="1"/>
  <c r="S21" i="4"/>
  <c r="S46" i="4" s="1"/>
  <c r="T46" i="4" s="1"/>
  <c r="S20" i="4"/>
  <c r="R11" i="4"/>
  <c r="R12" i="4"/>
  <c r="R15" i="4"/>
  <c r="R16" i="4"/>
  <c r="R19" i="4"/>
  <c r="Q26" i="4"/>
  <c r="R26" i="4" s="1"/>
  <c r="Q25" i="4"/>
  <c r="Q50" i="4" s="1"/>
  <c r="R50" i="4" s="1"/>
  <c r="Q24" i="4"/>
  <c r="Q23" i="4"/>
  <c r="Q22" i="4"/>
  <c r="Q47" i="4" s="1"/>
  <c r="R47" i="4" s="1"/>
  <c r="Q21" i="4"/>
  <c r="Q20" i="4"/>
  <c r="P13" i="4"/>
  <c r="P14" i="4"/>
  <c r="P17" i="4"/>
  <c r="P18" i="4"/>
  <c r="P10" i="4"/>
  <c r="P11" i="4"/>
  <c r="O26" i="4"/>
  <c r="O51" i="4" s="1"/>
  <c r="P51" i="4" s="1"/>
  <c r="O25" i="4"/>
  <c r="O50" i="4" s="1"/>
  <c r="P50" i="4" s="1"/>
  <c r="O24" i="4"/>
  <c r="O23" i="4"/>
  <c r="O22" i="4"/>
  <c r="O47" i="4" s="1"/>
  <c r="P47" i="4" s="1"/>
  <c r="O21" i="4"/>
  <c r="O46" i="4" s="1"/>
  <c r="P46" i="4" s="1"/>
  <c r="O20" i="4"/>
  <c r="N11" i="4"/>
  <c r="N12" i="4"/>
  <c r="N15" i="4"/>
  <c r="N16" i="4"/>
  <c r="N19" i="4"/>
  <c r="M26" i="4"/>
  <c r="M25" i="4"/>
  <c r="M50" i="4" s="1"/>
  <c r="N50" i="4" s="1"/>
  <c r="M24" i="4"/>
  <c r="M49" i="4" s="1"/>
  <c r="N49" i="4" s="1"/>
  <c r="M23" i="4"/>
  <c r="M22" i="4"/>
  <c r="M21" i="4"/>
  <c r="M46" i="4" s="1"/>
  <c r="N46" i="4" s="1"/>
  <c r="M20" i="4"/>
  <c r="M45" i="4" s="1"/>
  <c r="N45" i="4" s="1"/>
  <c r="L10" i="4"/>
  <c r="L11" i="4"/>
  <c r="D9" i="4"/>
  <c r="D10" i="4"/>
  <c r="F10" i="4"/>
  <c r="F11" i="4"/>
  <c r="H11" i="4"/>
  <c r="J9" i="4"/>
  <c r="L13" i="4"/>
  <c r="L14" i="4"/>
  <c r="L17" i="4"/>
  <c r="L18" i="4"/>
  <c r="K26" i="4"/>
  <c r="K25" i="4"/>
  <c r="K50" i="4" s="1"/>
  <c r="L50" i="4" s="1"/>
  <c r="K24" i="4"/>
  <c r="K49" i="4" s="1"/>
  <c r="L49" i="4" s="1"/>
  <c r="K23" i="4"/>
  <c r="K22" i="4"/>
  <c r="K21" i="4"/>
  <c r="K46" i="4" s="1"/>
  <c r="L46" i="4" s="1"/>
  <c r="K20" i="4"/>
  <c r="K45" i="4" s="1"/>
  <c r="L45" i="4" s="1"/>
  <c r="J15" i="4"/>
  <c r="J16" i="4"/>
  <c r="J19" i="4"/>
  <c r="I26" i="4"/>
  <c r="I25" i="4"/>
  <c r="I50" i="4" s="1"/>
  <c r="J50" i="4" s="1"/>
  <c r="I24" i="4"/>
  <c r="I49" i="4" s="1"/>
  <c r="J49" i="4" s="1"/>
  <c r="I23" i="4"/>
  <c r="I22" i="4"/>
  <c r="I21" i="4"/>
  <c r="J21" i="4" s="1"/>
  <c r="I20" i="4"/>
  <c r="D15" i="4"/>
  <c r="D16" i="4"/>
  <c r="D19" i="4"/>
  <c r="D22" i="4"/>
  <c r="F13" i="4"/>
  <c r="F14" i="4"/>
  <c r="F17" i="4"/>
  <c r="F18" i="4"/>
  <c r="F12" i="4"/>
  <c r="H13" i="4"/>
  <c r="H16" i="4"/>
  <c r="H17" i="4"/>
  <c r="H12" i="4"/>
  <c r="G26" i="4"/>
  <c r="H26" i="4" s="1"/>
  <c r="G25" i="4"/>
  <c r="G24" i="4"/>
  <c r="G23" i="4"/>
  <c r="H23" i="4" s="1"/>
  <c r="G22" i="4"/>
  <c r="H22" i="4" s="1"/>
  <c r="G21" i="4"/>
  <c r="G20" i="4"/>
  <c r="E26" i="4"/>
  <c r="E51" i="4" s="1"/>
  <c r="F51" i="4" s="1"/>
  <c r="E25" i="4"/>
  <c r="F25" i="4" s="1"/>
  <c r="E24" i="4"/>
  <c r="E49" i="4" s="1"/>
  <c r="F49" i="4" s="1"/>
  <c r="E23" i="4"/>
  <c r="E22" i="4"/>
  <c r="E47" i="4" s="1"/>
  <c r="F47" i="4" s="1"/>
  <c r="E21" i="4"/>
  <c r="F21" i="4" s="1"/>
  <c r="E20" i="4"/>
  <c r="B29" i="4"/>
  <c r="B28" i="4"/>
  <c r="J28" i="4" s="1"/>
  <c r="B27" i="4"/>
  <c r="N27" i="4" s="1"/>
  <c r="B26" i="4"/>
  <c r="B25" i="4"/>
  <c r="B24" i="4"/>
  <c r="L24" i="4" s="1"/>
  <c r="B23" i="4"/>
  <c r="J23" i="4" s="1"/>
  <c r="B22" i="4"/>
  <c r="B21" i="4"/>
  <c r="B20" i="4"/>
  <c r="T20" i="4" s="1"/>
  <c r="C20" i="4"/>
  <c r="C45" i="4" s="1"/>
  <c r="D45" i="4" s="1"/>
  <c r="C21" i="4"/>
  <c r="C22" i="4"/>
  <c r="C47" i="4" s="1"/>
  <c r="D47" i="4" s="1"/>
  <c r="C23" i="4"/>
  <c r="C48" i="4" s="1"/>
  <c r="D48" i="4" s="1"/>
  <c r="C24" i="4"/>
  <c r="C49" i="4" s="1"/>
  <c r="D49" i="4" s="1"/>
  <c r="C25" i="4"/>
  <c r="C26" i="4"/>
  <c r="D26" i="4" s="1"/>
  <c r="H2" i="4"/>
  <c r="P6" i="4" s="1"/>
  <c r="P5" i="4" s="1"/>
  <c r="D36" i="3"/>
  <c r="U19" i="3"/>
  <c r="U20" i="3" s="1"/>
  <c r="U21" i="3" s="1"/>
  <c r="U22" i="3" s="1"/>
  <c r="V18" i="3"/>
  <c r="V19" i="3" s="1"/>
  <c r="V20" i="3" s="1"/>
  <c r="V21" i="3" s="1"/>
  <c r="V22" i="3" s="1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36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B53" i="3"/>
  <c r="B52" i="3"/>
  <c r="B51" i="3"/>
  <c r="B50" i="3"/>
  <c r="B49" i="3"/>
  <c r="B48" i="3"/>
  <c r="B47" i="3"/>
  <c r="B46" i="3"/>
  <c r="B45" i="3"/>
  <c r="B44" i="3"/>
  <c r="K24" i="3"/>
  <c r="L24" i="3" s="1"/>
  <c r="M24" i="3" s="1"/>
  <c r="N24" i="3" s="1"/>
  <c r="O24" i="3" s="1"/>
  <c r="P24" i="3" s="1"/>
  <c r="Q24" i="3" s="1"/>
  <c r="C24" i="3"/>
  <c r="D24" i="3" s="1"/>
  <c r="E24" i="3" s="1"/>
  <c r="F24" i="3" s="1"/>
  <c r="G24" i="3" s="1"/>
  <c r="H24" i="3" s="1"/>
  <c r="B24" i="3"/>
  <c r="L10" i="3"/>
  <c r="M10" i="3" s="1"/>
  <c r="N10" i="3" s="1"/>
  <c r="O10" i="3" s="1"/>
  <c r="P10" i="3" s="1"/>
  <c r="Q10" i="3" s="1"/>
  <c r="C10" i="3"/>
  <c r="D10" i="3" s="1"/>
  <c r="E10" i="3" s="1"/>
  <c r="F10" i="3" s="1"/>
  <c r="G10" i="3" s="1"/>
  <c r="H10" i="3" s="1"/>
  <c r="L9" i="3"/>
  <c r="K8" i="3"/>
  <c r="K13" i="3" s="1"/>
  <c r="B8" i="3"/>
  <c r="M7" i="3"/>
  <c r="N7" i="3" s="1"/>
  <c r="O7" i="3" s="1"/>
  <c r="P7" i="3" s="1"/>
  <c r="Q7" i="3" s="1"/>
  <c r="L7" i="3"/>
  <c r="C7" i="3"/>
  <c r="D7" i="3" s="1"/>
  <c r="E7" i="3" s="1"/>
  <c r="F7" i="3" s="1"/>
  <c r="G7" i="3" s="1"/>
  <c r="H7" i="3" s="1"/>
  <c r="N6" i="3"/>
  <c r="O6" i="3" s="1"/>
  <c r="P6" i="3" s="1"/>
  <c r="Q6" i="3" s="1"/>
  <c r="M6" i="3"/>
  <c r="L6" i="3"/>
  <c r="C6" i="3"/>
  <c r="D6" i="3" s="1"/>
  <c r="E6" i="3" s="1"/>
  <c r="F6" i="3" s="1"/>
  <c r="G6" i="3" s="1"/>
  <c r="H6" i="3" s="1"/>
  <c r="M5" i="3"/>
  <c r="N5" i="3" s="1"/>
  <c r="O5" i="3" s="1"/>
  <c r="P5" i="3" s="1"/>
  <c r="Q5" i="3" s="1"/>
  <c r="K5" i="3"/>
  <c r="L5" i="3" s="1"/>
  <c r="D5" i="3"/>
  <c r="E5" i="3" s="1"/>
  <c r="F5" i="3" s="1"/>
  <c r="G5" i="3" s="1"/>
  <c r="H5" i="3" s="1"/>
  <c r="C5" i="3"/>
  <c r="B5" i="3"/>
  <c r="F52" i="2"/>
  <c r="P21" i="4" l="1"/>
  <c r="P25" i="4"/>
  <c r="V29" i="4"/>
  <c r="E48" i="4"/>
  <c r="F48" i="4" s="1"/>
  <c r="G45" i="4"/>
  <c r="H45" i="4" s="1"/>
  <c r="H24" i="4"/>
  <c r="H19" i="4"/>
  <c r="H15" i="4"/>
  <c r="F23" i="4"/>
  <c r="F16" i="4"/>
  <c r="D12" i="4"/>
  <c r="D18" i="4"/>
  <c r="D14" i="4"/>
  <c r="J22" i="4"/>
  <c r="I51" i="4"/>
  <c r="J51" i="4" s="1"/>
  <c r="J18" i="4"/>
  <c r="J14" i="4"/>
  <c r="L22" i="4"/>
  <c r="L26" i="4"/>
  <c r="L16" i="4"/>
  <c r="J11" i="4"/>
  <c r="H10" i="4"/>
  <c r="F9" i="4"/>
  <c r="F29" i="4"/>
  <c r="L9" i="4"/>
  <c r="M47" i="4"/>
  <c r="N47" i="4" s="1"/>
  <c r="M51" i="4"/>
  <c r="N51" i="4" s="1"/>
  <c r="N18" i="4"/>
  <c r="N30" i="4" s="1"/>
  <c r="N31" i="4" s="1"/>
  <c r="Z12" i="4" s="1"/>
  <c r="N14" i="4"/>
  <c r="N10" i="4"/>
  <c r="O48" i="4"/>
  <c r="P48" i="4" s="1"/>
  <c r="P9" i="4"/>
  <c r="P23" i="4"/>
  <c r="P16" i="4"/>
  <c r="P12" i="4"/>
  <c r="Q48" i="4"/>
  <c r="R48" i="4" s="1"/>
  <c r="R9" i="4"/>
  <c r="R18" i="4"/>
  <c r="R14" i="4"/>
  <c r="R10" i="4"/>
  <c r="R30" i="4" s="1"/>
  <c r="R31" i="4" s="1"/>
  <c r="Z14" i="4" s="1"/>
  <c r="T9" i="4"/>
  <c r="T17" i="4"/>
  <c r="T13" i="4"/>
  <c r="C41" i="4"/>
  <c r="D41" i="4" s="1"/>
  <c r="E38" i="4"/>
  <c r="F38" i="4" s="1"/>
  <c r="E42" i="4"/>
  <c r="F42" i="4" s="1"/>
  <c r="F53" i="4"/>
  <c r="G40" i="4"/>
  <c r="H40" i="4" s="1"/>
  <c r="G44" i="4"/>
  <c r="H44" i="4" s="1"/>
  <c r="H54" i="4"/>
  <c r="I40" i="4"/>
  <c r="J40" i="4" s="1"/>
  <c r="I44" i="4"/>
  <c r="J44" i="4" s="1"/>
  <c r="K38" i="4"/>
  <c r="L38" i="4" s="1"/>
  <c r="K42" i="4"/>
  <c r="L42" i="4" s="1"/>
  <c r="M37" i="4"/>
  <c r="N37" i="4" s="1"/>
  <c r="M41" i="4"/>
  <c r="N41" i="4" s="1"/>
  <c r="O39" i="4"/>
  <c r="P39" i="4" s="1"/>
  <c r="O43" i="4"/>
  <c r="P43" i="4" s="1"/>
  <c r="Q37" i="4"/>
  <c r="R37" i="4" s="1"/>
  <c r="Q41" i="4"/>
  <c r="R41" i="4" s="1"/>
  <c r="S39" i="4"/>
  <c r="T39" i="4" s="1"/>
  <c r="S43" i="4"/>
  <c r="T43" i="4" s="1"/>
  <c r="T53" i="4"/>
  <c r="U48" i="4"/>
  <c r="V48" i="4" s="1"/>
  <c r="U37" i="4"/>
  <c r="V37" i="4" s="1"/>
  <c r="U41" i="4"/>
  <c r="V41" i="4" s="1"/>
  <c r="V12" i="4"/>
  <c r="V19" i="4"/>
  <c r="V15" i="4"/>
  <c r="C50" i="4"/>
  <c r="D50" i="4" s="1"/>
  <c r="C46" i="4"/>
  <c r="D46" i="4" s="1"/>
  <c r="F20" i="4"/>
  <c r="F24" i="4"/>
  <c r="H18" i="4"/>
  <c r="H14" i="4"/>
  <c r="F19" i="4"/>
  <c r="F30" i="4" s="1"/>
  <c r="F31" i="4" s="1"/>
  <c r="Z8" i="4" s="1"/>
  <c r="F15" i="4"/>
  <c r="D17" i="4"/>
  <c r="D13" i="4"/>
  <c r="I48" i="4"/>
  <c r="J48" i="4" s="1"/>
  <c r="J12" i="4"/>
  <c r="J17" i="4"/>
  <c r="J13" i="4"/>
  <c r="L23" i="4"/>
  <c r="L19" i="4"/>
  <c r="L15" i="4"/>
  <c r="J10" i="4"/>
  <c r="H9" i="4"/>
  <c r="D11" i="4"/>
  <c r="J27" i="4"/>
  <c r="L12" i="4"/>
  <c r="M48" i="4"/>
  <c r="N48" i="4" s="1"/>
  <c r="N9" i="4"/>
  <c r="N17" i="4"/>
  <c r="N13" i="4"/>
  <c r="O45" i="4"/>
  <c r="P45" i="4" s="1"/>
  <c r="O49" i="4"/>
  <c r="P49" i="4" s="1"/>
  <c r="P29" i="4"/>
  <c r="P19" i="4"/>
  <c r="P15" i="4"/>
  <c r="Q49" i="4"/>
  <c r="R49" i="4" s="1"/>
  <c r="R29" i="4"/>
  <c r="R17" i="4"/>
  <c r="R13" i="4"/>
  <c r="S45" i="4"/>
  <c r="T45" i="4" s="1"/>
  <c r="T24" i="4"/>
  <c r="T22" i="4"/>
  <c r="T16" i="4"/>
  <c r="T12" i="4"/>
  <c r="C44" i="4"/>
  <c r="D44" i="4" s="1"/>
  <c r="C40" i="4"/>
  <c r="D40" i="4" s="1"/>
  <c r="E39" i="4"/>
  <c r="F39" i="4" s="1"/>
  <c r="E43" i="4"/>
  <c r="F43" i="4" s="1"/>
  <c r="G37" i="4"/>
  <c r="H37" i="4" s="1"/>
  <c r="G41" i="4"/>
  <c r="H41" i="4" s="1"/>
  <c r="I37" i="4"/>
  <c r="J37" i="4" s="1"/>
  <c r="I41" i="4"/>
  <c r="J41" i="4" s="1"/>
  <c r="I46" i="4"/>
  <c r="J46" i="4" s="1"/>
  <c r="K39" i="4"/>
  <c r="L39" i="4" s="1"/>
  <c r="K43" i="4"/>
  <c r="L43" i="4" s="1"/>
  <c r="M38" i="4"/>
  <c r="N38" i="4" s="1"/>
  <c r="M42" i="4"/>
  <c r="N42" i="4" s="1"/>
  <c r="O40" i="4"/>
  <c r="P40" i="4" s="1"/>
  <c r="O44" i="4"/>
  <c r="P44" i="4" s="1"/>
  <c r="Q38" i="4"/>
  <c r="R38" i="4" s="1"/>
  <c r="Q42" i="4"/>
  <c r="R42" i="4" s="1"/>
  <c r="Q51" i="4"/>
  <c r="R51" i="4" s="1"/>
  <c r="S40" i="4"/>
  <c r="T40" i="4" s="1"/>
  <c r="S44" i="4"/>
  <c r="T44" i="4" s="1"/>
  <c r="P53" i="4"/>
  <c r="U45" i="4"/>
  <c r="U49" i="4"/>
  <c r="V49" i="4" s="1"/>
  <c r="U38" i="4"/>
  <c r="V38" i="4" s="1"/>
  <c r="U42" i="4"/>
  <c r="V42" i="4" s="1"/>
  <c r="V11" i="4"/>
  <c r="V18" i="4"/>
  <c r="V14" i="4"/>
  <c r="N25" i="4"/>
  <c r="R25" i="4"/>
  <c r="E40" i="4"/>
  <c r="F40" i="4" s="1"/>
  <c r="E44" i="4"/>
  <c r="F44" i="4" s="1"/>
  <c r="G38" i="4"/>
  <c r="H38" i="4" s="1"/>
  <c r="G42" i="4"/>
  <c r="H42" i="4" s="1"/>
  <c r="I38" i="4"/>
  <c r="J38" i="4" s="1"/>
  <c r="I42" i="4"/>
  <c r="J42" i="4" s="1"/>
  <c r="K40" i="4"/>
  <c r="L40" i="4" s="1"/>
  <c r="K44" i="4"/>
  <c r="L44" i="4" s="1"/>
  <c r="M39" i="4"/>
  <c r="N39" i="4" s="1"/>
  <c r="M43" i="4"/>
  <c r="N43" i="4" s="1"/>
  <c r="O37" i="4"/>
  <c r="P37" i="4" s="1"/>
  <c r="O41" i="4"/>
  <c r="P41" i="4" s="1"/>
  <c r="Q39" i="4"/>
  <c r="R39" i="4" s="1"/>
  <c r="Q43" i="4"/>
  <c r="R43" i="4" s="1"/>
  <c r="S37" i="4"/>
  <c r="T37" i="4" s="1"/>
  <c r="S41" i="4"/>
  <c r="T41" i="4" s="1"/>
  <c r="S48" i="4"/>
  <c r="T48" i="4" s="1"/>
  <c r="U46" i="4"/>
  <c r="U50" i="4"/>
  <c r="U39" i="4"/>
  <c r="V39" i="4" s="1"/>
  <c r="U43" i="4"/>
  <c r="V43" i="4" s="1"/>
  <c r="V10" i="4"/>
  <c r="V17" i="4"/>
  <c r="H20" i="4"/>
  <c r="R20" i="4"/>
  <c r="J52" i="4"/>
  <c r="L48" i="4"/>
  <c r="V28" i="4"/>
  <c r="V22" i="4"/>
  <c r="F26" i="4"/>
  <c r="F22" i="4"/>
  <c r="D25" i="4"/>
  <c r="D21" i="4"/>
  <c r="J26" i="4"/>
  <c r="L29" i="4"/>
  <c r="D29" i="4"/>
  <c r="F28" i="4"/>
  <c r="H27" i="4"/>
  <c r="N20" i="4"/>
  <c r="N24" i="4"/>
  <c r="N29" i="4"/>
  <c r="N23" i="4"/>
  <c r="P28" i="4"/>
  <c r="P26" i="4"/>
  <c r="P22" i="4"/>
  <c r="R21" i="4"/>
  <c r="R28" i="4"/>
  <c r="T26" i="4"/>
  <c r="T27" i="4"/>
  <c r="T21" i="4"/>
  <c r="E46" i="4"/>
  <c r="F46" i="4" s="1"/>
  <c r="E50" i="4"/>
  <c r="F50" i="4" s="1"/>
  <c r="F52" i="4"/>
  <c r="G48" i="4"/>
  <c r="H48" i="4" s="1"/>
  <c r="H53" i="4"/>
  <c r="I47" i="4"/>
  <c r="J47" i="4" s="1"/>
  <c r="S49" i="4"/>
  <c r="T49" i="4" s="1"/>
  <c r="L52" i="4"/>
  <c r="N54" i="4"/>
  <c r="P52" i="4"/>
  <c r="R54" i="4"/>
  <c r="T52" i="4"/>
  <c r="V27" i="4"/>
  <c r="V21" i="4"/>
  <c r="V53" i="4"/>
  <c r="G51" i="4"/>
  <c r="H51" i="4" s="1"/>
  <c r="D6" i="4"/>
  <c r="Y7" i="4" s="1"/>
  <c r="D24" i="4"/>
  <c r="D20" i="4"/>
  <c r="J20" i="4"/>
  <c r="J25" i="4"/>
  <c r="L20" i="4"/>
  <c r="L28" i="4"/>
  <c r="D28" i="4"/>
  <c r="F27" i="4"/>
  <c r="J29" i="4"/>
  <c r="N21" i="4"/>
  <c r="N28" i="4"/>
  <c r="P27" i="4"/>
  <c r="R22" i="4"/>
  <c r="R27" i="4"/>
  <c r="T23" i="4"/>
  <c r="T25" i="4"/>
  <c r="T30" i="4" s="1"/>
  <c r="T31" i="4" s="1"/>
  <c r="Z15" i="4" s="1"/>
  <c r="D54" i="4"/>
  <c r="G49" i="4"/>
  <c r="H49" i="4" s="1"/>
  <c r="H52" i="4"/>
  <c r="J54" i="4"/>
  <c r="Q45" i="4"/>
  <c r="R45" i="4" s="1"/>
  <c r="N53" i="4"/>
  <c r="R53" i="4"/>
  <c r="V45" i="4"/>
  <c r="U51" i="4"/>
  <c r="V51" i="4" s="1"/>
  <c r="V52" i="4"/>
  <c r="H28" i="4"/>
  <c r="R24" i="4"/>
  <c r="T28" i="4"/>
  <c r="D52" i="4"/>
  <c r="G47" i="4"/>
  <c r="H47" i="4" s="1"/>
  <c r="H21" i="4"/>
  <c r="H25" i="4"/>
  <c r="D23" i="4"/>
  <c r="J24" i="4"/>
  <c r="L21" i="4"/>
  <c r="L25" i="4"/>
  <c r="L27" i="4"/>
  <c r="D27" i="4"/>
  <c r="H29" i="4"/>
  <c r="N22" i="4"/>
  <c r="N26" i="4"/>
  <c r="P24" i="4"/>
  <c r="P20" i="4"/>
  <c r="R23" i="4"/>
  <c r="T29" i="4"/>
  <c r="D53" i="4"/>
  <c r="F54" i="4"/>
  <c r="G46" i="4"/>
  <c r="H46" i="4" s="1"/>
  <c r="G50" i="4"/>
  <c r="H50" i="4" s="1"/>
  <c r="I45" i="4"/>
  <c r="J45" i="4" s="1"/>
  <c r="K47" i="4"/>
  <c r="L47" i="4" s="1"/>
  <c r="K51" i="4"/>
  <c r="L51" i="4" s="1"/>
  <c r="Q46" i="4"/>
  <c r="R46" i="4" s="1"/>
  <c r="S51" i="4"/>
  <c r="T51" i="4" s="1"/>
  <c r="L54" i="4"/>
  <c r="N52" i="4"/>
  <c r="P54" i="4"/>
  <c r="V46" i="4"/>
  <c r="V50" i="4"/>
  <c r="V25" i="4"/>
  <c r="R6" i="4"/>
  <c r="R5" i="4" s="1"/>
  <c r="T6" i="4"/>
  <c r="T5" i="4" s="1"/>
  <c r="F6" i="4"/>
  <c r="H6" i="4"/>
  <c r="H5" i="4" s="1"/>
  <c r="V6" i="4"/>
  <c r="V5" i="4" s="1"/>
  <c r="J6" i="4"/>
  <c r="Y10" i="4" s="1"/>
  <c r="L6" i="4"/>
  <c r="L5" i="4" s="1"/>
  <c r="N6" i="4"/>
  <c r="N5" i="4" s="1"/>
  <c r="Y13" i="4"/>
  <c r="Y16" i="4"/>
  <c r="V20" i="4"/>
  <c r="V23" i="4"/>
  <c r="V24" i="4"/>
  <c r="J30" i="4"/>
  <c r="J31" i="4" s="1"/>
  <c r="Z10" i="4" s="1"/>
  <c r="B9" i="3"/>
  <c r="B17" i="3" s="1"/>
  <c r="R54" i="3"/>
  <c r="C8" i="3"/>
  <c r="D8" i="3" s="1"/>
  <c r="E8" i="3" s="1"/>
  <c r="F8" i="3" s="1"/>
  <c r="G8" i="3" s="1"/>
  <c r="H8" i="3" s="1"/>
  <c r="L8" i="3"/>
  <c r="M8" i="3" s="1"/>
  <c r="N8" i="3" s="1"/>
  <c r="O8" i="3" s="1"/>
  <c r="P8" i="3" s="1"/>
  <c r="Q8" i="3" s="1"/>
  <c r="K16" i="3"/>
  <c r="L16" i="3"/>
  <c r="L17" i="3"/>
  <c r="L12" i="3"/>
  <c r="M9" i="3"/>
  <c r="K12" i="3"/>
  <c r="K14" i="3" s="1"/>
  <c r="K17" i="3"/>
  <c r="G52" i="2"/>
  <c r="G51" i="2"/>
  <c r="H51" i="2" s="1"/>
  <c r="B51" i="2"/>
  <c r="B50" i="2"/>
  <c r="B49" i="2"/>
  <c r="G49" i="2" s="1"/>
  <c r="H49" i="2" s="1"/>
  <c r="B48" i="2"/>
  <c r="G48" i="2" s="1"/>
  <c r="H48" i="2" s="1"/>
  <c r="B47" i="2"/>
  <c r="G46" i="2"/>
  <c r="H46" i="2" s="1"/>
  <c r="B46" i="2"/>
  <c r="G45" i="2"/>
  <c r="H45" i="2" s="1"/>
  <c r="B45" i="2"/>
  <c r="B44" i="2"/>
  <c r="G44" i="2" s="1"/>
  <c r="H44" i="2" s="1"/>
  <c r="B43" i="2"/>
  <c r="G43" i="2" s="1"/>
  <c r="H43" i="2" s="1"/>
  <c r="B42" i="2"/>
  <c r="G41" i="2"/>
  <c r="H41" i="2" s="1"/>
  <c r="G40" i="2"/>
  <c r="H40" i="2" s="1"/>
  <c r="G39" i="2"/>
  <c r="H39" i="2" s="1"/>
  <c r="G37" i="2"/>
  <c r="H37" i="2" s="1"/>
  <c r="G36" i="2"/>
  <c r="H36" i="2" s="1"/>
  <c r="H35" i="2"/>
  <c r="G35" i="2"/>
  <c r="G33" i="2"/>
  <c r="H33" i="2" s="1"/>
  <c r="G32" i="2"/>
  <c r="H32" i="2" s="1"/>
  <c r="K23" i="2"/>
  <c r="L23" i="2" s="1"/>
  <c r="M23" i="2" s="1"/>
  <c r="N23" i="2" s="1"/>
  <c r="O23" i="2" s="1"/>
  <c r="P23" i="2" s="1"/>
  <c r="Q23" i="2" s="1"/>
  <c r="B23" i="2"/>
  <c r="C23" i="2" s="1"/>
  <c r="D23" i="2" s="1"/>
  <c r="E23" i="2" s="1"/>
  <c r="F23" i="2" s="1"/>
  <c r="G23" i="2" s="1"/>
  <c r="H23" i="2" s="1"/>
  <c r="K17" i="2"/>
  <c r="K13" i="2"/>
  <c r="L12" i="2"/>
  <c r="N10" i="2"/>
  <c r="O10" i="2" s="1"/>
  <c r="P10" i="2" s="1"/>
  <c r="Q10" i="2" s="1"/>
  <c r="L10" i="2"/>
  <c r="M10" i="2" s="1"/>
  <c r="D10" i="2"/>
  <c r="E10" i="2" s="1"/>
  <c r="F10" i="2" s="1"/>
  <c r="G10" i="2" s="1"/>
  <c r="H10" i="2" s="1"/>
  <c r="C10" i="2"/>
  <c r="L9" i="2"/>
  <c r="L17" i="2" s="1"/>
  <c r="D9" i="2"/>
  <c r="C9" i="2"/>
  <c r="N8" i="2"/>
  <c r="O8" i="2" s="1"/>
  <c r="P8" i="2" s="1"/>
  <c r="Q8" i="2" s="1"/>
  <c r="K8" i="2"/>
  <c r="L8" i="2" s="1"/>
  <c r="M8" i="2" s="1"/>
  <c r="B8" i="2"/>
  <c r="G50" i="2" s="1"/>
  <c r="H50" i="2" s="1"/>
  <c r="L7" i="2"/>
  <c r="M7" i="2" s="1"/>
  <c r="N7" i="2" s="1"/>
  <c r="O7" i="2" s="1"/>
  <c r="P7" i="2" s="1"/>
  <c r="Q7" i="2" s="1"/>
  <c r="D7" i="2"/>
  <c r="E7" i="2" s="1"/>
  <c r="F7" i="2" s="1"/>
  <c r="G7" i="2" s="1"/>
  <c r="H7" i="2" s="1"/>
  <c r="C7" i="2"/>
  <c r="L6" i="2"/>
  <c r="M6" i="2" s="1"/>
  <c r="N6" i="2" s="1"/>
  <c r="O6" i="2" s="1"/>
  <c r="P6" i="2" s="1"/>
  <c r="Q6" i="2" s="1"/>
  <c r="C6" i="2"/>
  <c r="D6" i="2" s="1"/>
  <c r="E6" i="2" s="1"/>
  <c r="F6" i="2" s="1"/>
  <c r="G6" i="2" s="1"/>
  <c r="H6" i="2" s="1"/>
  <c r="L5" i="2"/>
  <c r="M5" i="2" s="1"/>
  <c r="N5" i="2" s="1"/>
  <c r="O5" i="2" s="1"/>
  <c r="P5" i="2" s="1"/>
  <c r="Q5" i="2" s="1"/>
  <c r="K5" i="2"/>
  <c r="B5" i="2"/>
  <c r="B16" i="2" s="1"/>
  <c r="J5" i="4" l="1"/>
  <c r="L30" i="4"/>
  <c r="L31" i="4" s="1"/>
  <c r="Z11" i="4" s="1"/>
  <c r="H30" i="4"/>
  <c r="H31" i="4" s="1"/>
  <c r="Z9" i="4" s="1"/>
  <c r="D30" i="4"/>
  <c r="D31" i="4" s="1"/>
  <c r="Z7" i="4" s="1"/>
  <c r="P30" i="4"/>
  <c r="P31" i="4" s="1"/>
  <c r="Z13" i="4" s="1"/>
  <c r="Y14" i="4"/>
  <c r="D5" i="4"/>
  <c r="Y15" i="4"/>
  <c r="Y12" i="4"/>
  <c r="Y9" i="4"/>
  <c r="F5" i="4"/>
  <c r="Y8" i="4"/>
  <c r="Y11" i="4"/>
  <c r="V30" i="4"/>
  <c r="V31" i="4" s="1"/>
  <c r="Z16" i="4" s="1"/>
  <c r="B12" i="3"/>
  <c r="B13" i="3"/>
  <c r="B16" i="3"/>
  <c r="B18" i="3" s="1"/>
  <c r="B3" i="3" s="1"/>
  <c r="E54" i="3"/>
  <c r="O54" i="3"/>
  <c r="C9" i="3"/>
  <c r="K21" i="3"/>
  <c r="K26" i="3" s="1"/>
  <c r="K28" i="3" s="1"/>
  <c r="K22" i="3"/>
  <c r="N9" i="3"/>
  <c r="M16" i="3"/>
  <c r="M13" i="3"/>
  <c r="M17" i="3"/>
  <c r="M12" i="3"/>
  <c r="L18" i="3"/>
  <c r="L3" i="3" s="1"/>
  <c r="K18" i="3"/>
  <c r="K3" i="3" s="1"/>
  <c r="H54" i="3"/>
  <c r="L13" i="3"/>
  <c r="L14" i="3" s="1"/>
  <c r="B12" i="2"/>
  <c r="B14" i="2" s="1"/>
  <c r="L13" i="2"/>
  <c r="L14" i="2" s="1"/>
  <c r="L16" i="2"/>
  <c r="L18" i="2" s="1"/>
  <c r="L3" i="2" s="1"/>
  <c r="M9" i="2"/>
  <c r="B17" i="2"/>
  <c r="B18" i="2" s="1"/>
  <c r="B3" i="2" s="1"/>
  <c r="C5" i="2"/>
  <c r="E9" i="2"/>
  <c r="B13" i="2"/>
  <c r="C16" i="2"/>
  <c r="K12" i="2"/>
  <c r="K14" i="2" s="1"/>
  <c r="K16" i="2"/>
  <c r="K18" i="2" s="1"/>
  <c r="K3" i="2" s="1"/>
  <c r="G34" i="2"/>
  <c r="H34" i="2" s="1"/>
  <c r="G38" i="2"/>
  <c r="H38" i="2" s="1"/>
  <c r="G47" i="2"/>
  <c r="H47" i="2" s="1"/>
  <c r="C8" i="2"/>
  <c r="D8" i="2" s="1"/>
  <c r="E8" i="2" s="1"/>
  <c r="F8" i="2" s="1"/>
  <c r="G8" i="2" s="1"/>
  <c r="H8" i="2" s="1"/>
  <c r="G42" i="2"/>
  <c r="H42" i="2" s="1"/>
  <c r="H52" i="2" s="1"/>
  <c r="R58" i="1"/>
  <c r="T58" i="1"/>
  <c r="Q61" i="1"/>
  <c r="E57" i="1"/>
  <c r="U49" i="1"/>
  <c r="E34" i="1"/>
  <c r="S31" i="1"/>
  <c r="Q58" i="1"/>
  <c r="U53" i="1"/>
  <c r="U52" i="1"/>
  <c r="U51" i="1"/>
  <c r="U50" i="1"/>
  <c r="T54" i="1"/>
  <c r="S54" i="1"/>
  <c r="T53" i="1"/>
  <c r="S53" i="1"/>
  <c r="P54" i="1"/>
  <c r="H22" i="1"/>
  <c r="H25" i="1"/>
  <c r="S50" i="1"/>
  <c r="T50" i="1"/>
  <c r="S51" i="1"/>
  <c r="T51" i="1"/>
  <c r="S52" i="1"/>
  <c r="T52" i="1"/>
  <c r="T49" i="1"/>
  <c r="S49" i="1"/>
  <c r="T48" i="1"/>
  <c r="S48" i="1"/>
  <c r="T47" i="1"/>
  <c r="S47" i="1"/>
  <c r="T46" i="1"/>
  <c r="S46" i="1"/>
  <c r="T45" i="1"/>
  <c r="S45" i="1"/>
  <c r="G47" i="1"/>
  <c r="H47" i="1"/>
  <c r="D49" i="1"/>
  <c r="H48" i="1"/>
  <c r="G48" i="1"/>
  <c r="H46" i="1"/>
  <c r="G46" i="1"/>
  <c r="H45" i="1"/>
  <c r="G45" i="1"/>
  <c r="T24" i="1"/>
  <c r="T25" i="1"/>
  <c r="T26" i="1"/>
  <c r="S24" i="1"/>
  <c r="S25" i="1"/>
  <c r="S26" i="1"/>
  <c r="P27" i="1"/>
  <c r="T23" i="1"/>
  <c r="S23" i="1"/>
  <c r="T22" i="1"/>
  <c r="S22" i="1"/>
  <c r="U25" i="1" s="1"/>
  <c r="H24" i="1"/>
  <c r="H23" i="1"/>
  <c r="G24" i="1"/>
  <c r="G25" i="1"/>
  <c r="G23" i="1"/>
  <c r="G22" i="1"/>
  <c r="B14" i="3" l="1"/>
  <c r="B21" i="3" s="1"/>
  <c r="C17" i="3"/>
  <c r="D9" i="3"/>
  <c r="C13" i="3"/>
  <c r="C12" i="3"/>
  <c r="C16" i="3"/>
  <c r="M14" i="3"/>
  <c r="L21" i="3"/>
  <c r="L22" i="3"/>
  <c r="L27" i="3" s="1"/>
  <c r="L29" i="3" s="1"/>
  <c r="M22" i="3"/>
  <c r="M21" i="3"/>
  <c r="N16" i="3"/>
  <c r="N13" i="3"/>
  <c r="N17" i="3"/>
  <c r="N12" i="3"/>
  <c r="O9" i="3"/>
  <c r="M18" i="3"/>
  <c r="M3" i="3" s="1"/>
  <c r="K27" i="3"/>
  <c r="K29" i="3" s="1"/>
  <c r="L21" i="2"/>
  <c r="L20" i="2"/>
  <c r="L25" i="2" s="1"/>
  <c r="L27" i="2" s="1"/>
  <c r="M16" i="2"/>
  <c r="M17" i="2"/>
  <c r="M13" i="2"/>
  <c r="N9" i="2"/>
  <c r="M12" i="2"/>
  <c r="M14" i="2" s="1"/>
  <c r="F9" i="2"/>
  <c r="B21" i="2"/>
  <c r="B20" i="2"/>
  <c r="B25" i="2" s="1"/>
  <c r="B27" i="2" s="1"/>
  <c r="K28" i="2"/>
  <c r="C13" i="2"/>
  <c r="C17" i="2"/>
  <c r="C18" i="2" s="1"/>
  <c r="C3" i="2" s="1"/>
  <c r="K20" i="2"/>
  <c r="K21" i="2"/>
  <c r="K26" i="2" s="1"/>
  <c r="D5" i="2"/>
  <c r="C12" i="2"/>
  <c r="C14" i="2" s="1"/>
  <c r="Q62" i="1"/>
  <c r="U54" i="1"/>
  <c r="U46" i="1"/>
  <c r="U45" i="1"/>
  <c r="U23" i="1"/>
  <c r="I23" i="1"/>
  <c r="U48" i="1"/>
  <c r="I25" i="1"/>
  <c r="S58" i="1"/>
  <c r="U47" i="1"/>
  <c r="I47" i="1"/>
  <c r="H26" i="1"/>
  <c r="I48" i="1"/>
  <c r="H49" i="1"/>
  <c r="G49" i="1"/>
  <c r="E53" i="1"/>
  <c r="F53" i="1" s="1"/>
  <c r="I45" i="1"/>
  <c r="I46" i="1"/>
  <c r="I24" i="1"/>
  <c r="G26" i="1"/>
  <c r="T27" i="1"/>
  <c r="U26" i="1"/>
  <c r="S27" i="1"/>
  <c r="U24" i="1"/>
  <c r="U22" i="1"/>
  <c r="Q31" i="1"/>
  <c r="T31" i="1" s="1"/>
  <c r="D26" i="1"/>
  <c r="B22" i="3" l="1"/>
  <c r="B27" i="3" s="1"/>
  <c r="B29" i="3" s="1"/>
  <c r="C18" i="3"/>
  <c r="C3" i="3" s="1"/>
  <c r="C14" i="3"/>
  <c r="D17" i="3"/>
  <c r="E9" i="3"/>
  <c r="D12" i="3"/>
  <c r="D13" i="3"/>
  <c r="D16" i="3"/>
  <c r="M27" i="3"/>
  <c r="M29" i="3"/>
  <c r="O17" i="3"/>
  <c r="O12" i="3"/>
  <c r="O16" i="3"/>
  <c r="O13" i="3"/>
  <c r="P9" i="3"/>
  <c r="N18" i="3"/>
  <c r="N3" i="3" s="1"/>
  <c r="N14" i="3"/>
  <c r="M26" i="3"/>
  <c r="M28" i="3" s="1"/>
  <c r="L26" i="3"/>
  <c r="L28" i="3" s="1"/>
  <c r="N17" i="2"/>
  <c r="N12" i="2"/>
  <c r="N16" i="2"/>
  <c r="O9" i="2"/>
  <c r="N13" i="2"/>
  <c r="L26" i="2"/>
  <c r="L28" i="2" s="1"/>
  <c r="C21" i="2"/>
  <c r="C20" i="2"/>
  <c r="C25" i="2" s="1"/>
  <c r="C27" i="2" s="1"/>
  <c r="B26" i="2"/>
  <c r="B28" i="2" s="1"/>
  <c r="E5" i="2"/>
  <c r="D12" i="2"/>
  <c r="D16" i="2"/>
  <c r="D18" i="2" s="1"/>
  <c r="D3" i="2" s="1"/>
  <c r="D17" i="2"/>
  <c r="D13" i="2"/>
  <c r="M18" i="2"/>
  <c r="M3" i="2" s="1"/>
  <c r="M21" i="2"/>
  <c r="M20" i="2"/>
  <c r="M25" i="2" s="1"/>
  <c r="M27" i="2" s="1"/>
  <c r="K25" i="2"/>
  <c r="K27" i="2" s="1"/>
  <c r="G9" i="2"/>
  <c r="Q57" i="1"/>
  <c r="G53" i="1"/>
  <c r="H53" i="1" s="1"/>
  <c r="I49" i="1"/>
  <c r="E52" i="1" s="1"/>
  <c r="E30" i="1"/>
  <c r="G30" i="1" s="1"/>
  <c r="H30" i="1" s="1"/>
  <c r="U27" i="1"/>
  <c r="R31" i="1"/>
  <c r="Q36" i="1" s="1"/>
  <c r="X17" i="1"/>
  <c r="W17" i="1"/>
  <c r="V17" i="1"/>
  <c r="U17" i="1"/>
  <c r="T17" i="1"/>
  <c r="Y15" i="1"/>
  <c r="U10" i="1" s="1"/>
  <c r="U12" i="1" s="1"/>
  <c r="P17" i="1"/>
  <c r="O17" i="1"/>
  <c r="N17" i="1"/>
  <c r="M17" i="1"/>
  <c r="L17" i="1"/>
  <c r="Q15" i="1"/>
  <c r="M10" i="1" s="1"/>
  <c r="X12" i="1"/>
  <c r="W12" i="1"/>
  <c r="P12" i="1"/>
  <c r="O7" i="1"/>
  <c r="N7" i="1"/>
  <c r="M7" i="1"/>
  <c r="O12" i="1"/>
  <c r="L12" i="1"/>
  <c r="F11" i="1"/>
  <c r="G11" i="1" s="1"/>
  <c r="F10" i="1"/>
  <c r="G10" i="1" s="1"/>
  <c r="F6" i="1"/>
  <c r="G6" i="1" s="1"/>
  <c r="H6" i="1" s="1"/>
  <c r="F5" i="1"/>
  <c r="A16" i="1"/>
  <c r="A13" i="1"/>
  <c r="A15" i="1" s="1"/>
  <c r="A11" i="1"/>
  <c r="A10" i="1"/>
  <c r="A9" i="1"/>
  <c r="B7" i="1"/>
  <c r="B6" i="1"/>
  <c r="A7" i="1"/>
  <c r="A6" i="1"/>
  <c r="A4" i="1"/>
  <c r="A3" i="1"/>
  <c r="A1" i="1"/>
  <c r="A2" i="1" s="1"/>
  <c r="D18" i="3" l="1"/>
  <c r="D3" i="3" s="1"/>
  <c r="B26" i="3"/>
  <c r="B28" i="3" s="1"/>
  <c r="D14" i="3"/>
  <c r="F9" i="3"/>
  <c r="E12" i="3"/>
  <c r="E16" i="3"/>
  <c r="E17" i="3"/>
  <c r="E13" i="3"/>
  <c r="C21" i="3"/>
  <c r="C22" i="3"/>
  <c r="O14" i="3"/>
  <c r="O21" i="3" s="1"/>
  <c r="P17" i="3"/>
  <c r="P12" i="3"/>
  <c r="Q9" i="3"/>
  <c r="P13" i="3"/>
  <c r="P16" i="3"/>
  <c r="P18" i="3" s="1"/>
  <c r="P3" i="3" s="1"/>
  <c r="N22" i="3"/>
  <c r="N21" i="3"/>
  <c r="O18" i="3"/>
  <c r="O3" i="3" s="1"/>
  <c r="M26" i="2"/>
  <c r="M28" i="2" s="1"/>
  <c r="H9" i="2"/>
  <c r="C26" i="2"/>
  <c r="C28" i="2" s="1"/>
  <c r="O17" i="2"/>
  <c r="O12" i="2"/>
  <c r="P9" i="2"/>
  <c r="O13" i="2"/>
  <c r="O16" i="2"/>
  <c r="O18" i="2" s="1"/>
  <c r="O3" i="2" s="1"/>
  <c r="D14" i="2"/>
  <c r="N18" i="2"/>
  <c r="N3" i="2" s="1"/>
  <c r="F5" i="2"/>
  <c r="E17" i="2"/>
  <c r="E12" i="2"/>
  <c r="E13" i="2"/>
  <c r="E16" i="2"/>
  <c r="E18" i="2" s="1"/>
  <c r="E3" i="2" s="1"/>
  <c r="N14" i="2"/>
  <c r="X45" i="1"/>
  <c r="X46" i="1" s="1"/>
  <c r="X47" i="1" s="1"/>
  <c r="X48" i="1" s="1"/>
  <c r="X49" i="1" s="1"/>
  <c r="R36" i="1"/>
  <c r="S57" i="1"/>
  <c r="T57" i="1" s="1"/>
  <c r="R57" i="1"/>
  <c r="R62" i="1"/>
  <c r="F52" i="1"/>
  <c r="L45" i="1"/>
  <c r="G52" i="1"/>
  <c r="E58" i="1"/>
  <c r="Q30" i="1"/>
  <c r="F30" i="1"/>
  <c r="A14" i="1"/>
  <c r="Y10" i="1"/>
  <c r="P5" i="1" s="1"/>
  <c r="P7" i="1" s="1"/>
  <c r="V12" i="1"/>
  <c r="T12" i="1"/>
  <c r="N12" i="1"/>
  <c r="M12" i="1"/>
  <c r="Y17" i="1"/>
  <c r="Y16" i="1" s="1"/>
  <c r="Q17" i="1"/>
  <c r="Q16" i="1" s="1"/>
  <c r="F7" i="1"/>
  <c r="G7" i="1" s="1"/>
  <c r="H7" i="1" s="1"/>
  <c r="G5" i="1"/>
  <c r="H5" i="1" s="1"/>
  <c r="C27" i="3" l="1"/>
  <c r="C29" i="3" s="1"/>
  <c r="E18" i="3"/>
  <c r="E3" i="3" s="1"/>
  <c r="E14" i="3"/>
  <c r="E22" i="3" s="1"/>
  <c r="C26" i="3"/>
  <c r="C28" i="3" s="1"/>
  <c r="F13" i="3"/>
  <c r="F17" i="3"/>
  <c r="F16" i="3"/>
  <c r="F12" i="3"/>
  <c r="G9" i="3"/>
  <c r="D22" i="3"/>
  <c r="D21" i="3"/>
  <c r="O22" i="3"/>
  <c r="O27" i="3" s="1"/>
  <c r="N27" i="3"/>
  <c r="N29" i="3" s="1"/>
  <c r="O29" i="3"/>
  <c r="Q16" i="3"/>
  <c r="Q13" i="3"/>
  <c r="Q17" i="3"/>
  <c r="Q12" i="3"/>
  <c r="N26" i="3"/>
  <c r="N28" i="3" s="1"/>
  <c r="P14" i="3"/>
  <c r="O26" i="3"/>
  <c r="O28" i="3" s="1"/>
  <c r="G5" i="2"/>
  <c r="F13" i="2"/>
  <c r="F16" i="2"/>
  <c r="F12" i="2"/>
  <c r="F14" i="2" s="1"/>
  <c r="F17" i="2"/>
  <c r="D21" i="2"/>
  <c r="D26" i="2" s="1"/>
  <c r="D28" i="2" s="1"/>
  <c r="D20" i="2"/>
  <c r="Q9" i="2"/>
  <c r="P13" i="2"/>
  <c r="P17" i="2"/>
  <c r="P16" i="2"/>
  <c r="P12" i="2"/>
  <c r="E14" i="2"/>
  <c r="O14" i="2"/>
  <c r="N21" i="2"/>
  <c r="N20" i="2"/>
  <c r="N25" i="2" s="1"/>
  <c r="N27" i="2" s="1"/>
  <c r="Y49" i="1"/>
  <c r="X50" i="1"/>
  <c r="S30" i="1"/>
  <c r="X22" i="1"/>
  <c r="X23" i="1" s="1"/>
  <c r="X24" i="1" s="1"/>
  <c r="X25" i="1" s="1"/>
  <c r="Y48" i="1"/>
  <c r="Y47" i="1"/>
  <c r="Y45" i="1"/>
  <c r="Y46" i="1"/>
  <c r="R61" i="1"/>
  <c r="H52" i="1"/>
  <c r="M45" i="1"/>
  <c r="L46" i="1"/>
  <c r="R30" i="1"/>
  <c r="Y12" i="1"/>
  <c r="Y11" i="1" s="1"/>
  <c r="Q12" i="1"/>
  <c r="Q10" i="1"/>
  <c r="L5" i="1" s="1"/>
  <c r="Q5" i="1" s="1"/>
  <c r="E11" i="1"/>
  <c r="I11" i="1" s="1"/>
  <c r="E10" i="1"/>
  <c r="I10" i="1" s="1"/>
  <c r="E21" i="3" l="1"/>
  <c r="E27" i="3" s="1"/>
  <c r="E29" i="3" s="1"/>
  <c r="D27" i="3"/>
  <c r="D29" i="3" s="1"/>
  <c r="G12" i="3"/>
  <c r="G16" i="3"/>
  <c r="H9" i="3"/>
  <c r="G13" i="3"/>
  <c r="G17" i="3"/>
  <c r="F14" i="3"/>
  <c r="D26" i="3"/>
  <c r="D28" i="3" s="1"/>
  <c r="F18" i="3"/>
  <c r="F3" i="3" s="1"/>
  <c r="Q18" i="3"/>
  <c r="Q3" i="3" s="1"/>
  <c r="P21" i="3"/>
  <c r="P22" i="3"/>
  <c r="P27" i="3" s="1"/>
  <c r="P29" i="3" s="1"/>
  <c r="Q14" i="3"/>
  <c r="Q13" i="2"/>
  <c r="Q16" i="2"/>
  <c r="Q18" i="2" s="1"/>
  <c r="Q3" i="2" s="1"/>
  <c r="Q17" i="2"/>
  <c r="Q12" i="2"/>
  <c r="Q14" i="2" s="1"/>
  <c r="D25" i="2"/>
  <c r="D27" i="2" s="1"/>
  <c r="N26" i="2"/>
  <c r="N28" i="2" s="1"/>
  <c r="O21" i="2"/>
  <c r="O26" i="2" s="1"/>
  <c r="O28" i="2" s="1"/>
  <c r="O20" i="2"/>
  <c r="O25" i="2" s="1"/>
  <c r="O27" i="2" s="1"/>
  <c r="F21" i="2"/>
  <c r="F20" i="2"/>
  <c r="F25" i="2" s="1"/>
  <c r="F27" i="2" s="1"/>
  <c r="E20" i="2"/>
  <c r="E21" i="2"/>
  <c r="E26" i="2" s="1"/>
  <c r="E28" i="2" s="1"/>
  <c r="F18" i="2"/>
  <c r="F3" i="2" s="1"/>
  <c r="P14" i="2"/>
  <c r="P18" i="2"/>
  <c r="P3" i="2" s="1"/>
  <c r="H5" i="2"/>
  <c r="G13" i="2"/>
  <c r="G16" i="2"/>
  <c r="G17" i="2"/>
  <c r="G12" i="2"/>
  <c r="G14" i="2" s="1"/>
  <c r="Y50" i="1"/>
  <c r="X51" i="1"/>
  <c r="T30" i="1"/>
  <c r="Y23" i="1"/>
  <c r="Y25" i="1"/>
  <c r="Y24" i="1"/>
  <c r="Y22" i="1"/>
  <c r="M46" i="1"/>
  <c r="L47" i="1"/>
  <c r="M47" i="1" s="1"/>
  <c r="H11" i="1"/>
  <c r="I12" i="1"/>
  <c r="Q11" i="1"/>
  <c r="L7" i="1"/>
  <c r="Q7" i="1" s="1"/>
  <c r="Q6" i="1" s="1"/>
  <c r="H10" i="1"/>
  <c r="E26" i="3" l="1"/>
  <c r="E28" i="3" s="1"/>
  <c r="O49" i="3"/>
  <c r="P49" i="3" s="1"/>
  <c r="E49" i="3"/>
  <c r="F49" i="3" s="1"/>
  <c r="E44" i="3"/>
  <c r="F44" i="3" s="1"/>
  <c r="O50" i="3"/>
  <c r="P50" i="3" s="1"/>
  <c r="E50" i="3"/>
  <c r="F50" i="3" s="1"/>
  <c r="E43" i="3"/>
  <c r="F43" i="3" s="1"/>
  <c r="E40" i="3"/>
  <c r="F40" i="3" s="1"/>
  <c r="H17" i="3"/>
  <c r="E46" i="3"/>
  <c r="F46" i="3" s="1"/>
  <c r="O44" i="3"/>
  <c r="P44" i="3" s="1"/>
  <c r="H13" i="3"/>
  <c r="O37" i="3"/>
  <c r="P37" i="3" s="1"/>
  <c r="E37" i="3"/>
  <c r="F37" i="3" s="1"/>
  <c r="E39" i="3"/>
  <c r="F39" i="3" s="1"/>
  <c r="O38" i="3"/>
  <c r="P38" i="3" s="1"/>
  <c r="E38" i="3"/>
  <c r="F38" i="3" s="1"/>
  <c r="O43" i="3"/>
  <c r="P43" i="3" s="1"/>
  <c r="E36" i="3"/>
  <c r="F36" i="3" s="1"/>
  <c r="E48" i="3"/>
  <c r="F48" i="3" s="1"/>
  <c r="H12" i="3"/>
  <c r="O41" i="3"/>
  <c r="P41" i="3" s="1"/>
  <c r="E41" i="3"/>
  <c r="F41" i="3" s="1"/>
  <c r="E47" i="3"/>
  <c r="F47" i="3" s="1"/>
  <c r="O42" i="3"/>
  <c r="P42" i="3" s="1"/>
  <c r="E42" i="3"/>
  <c r="F42" i="3" s="1"/>
  <c r="O47" i="3"/>
  <c r="P47" i="3" s="1"/>
  <c r="O40" i="3"/>
  <c r="P40" i="3" s="1"/>
  <c r="O39" i="3"/>
  <c r="P39" i="3" s="1"/>
  <c r="H16" i="3"/>
  <c r="O45" i="3"/>
  <c r="P45" i="3" s="1"/>
  <c r="E45" i="3"/>
  <c r="F45" i="3" s="1"/>
  <c r="O48" i="3"/>
  <c r="P48" i="3" s="1"/>
  <c r="O46" i="3"/>
  <c r="P46" i="3" s="1"/>
  <c r="O36" i="3"/>
  <c r="P36" i="3" s="1"/>
  <c r="F21" i="3"/>
  <c r="F22" i="3"/>
  <c r="G18" i="3"/>
  <c r="G3" i="3" s="1"/>
  <c r="G14" i="3"/>
  <c r="Q22" i="3"/>
  <c r="Q21" i="3"/>
  <c r="P26" i="3"/>
  <c r="P28" i="3" s="1"/>
  <c r="P21" i="2"/>
  <c r="P26" i="2" s="1"/>
  <c r="P28" i="2" s="1"/>
  <c r="P20" i="2"/>
  <c r="P25" i="2" s="1"/>
  <c r="P27" i="2" s="1"/>
  <c r="Q21" i="2"/>
  <c r="Q20" i="2"/>
  <c r="Q25" i="2" s="1"/>
  <c r="Q27" i="2" s="1"/>
  <c r="G21" i="2"/>
  <c r="G20" i="2"/>
  <c r="G25" i="2" s="1"/>
  <c r="G27" i="2" s="1"/>
  <c r="E25" i="2"/>
  <c r="E27" i="2" s="1"/>
  <c r="H17" i="2"/>
  <c r="H13" i="2"/>
  <c r="H16" i="2"/>
  <c r="H18" i="2" s="1"/>
  <c r="H3" i="2" s="1"/>
  <c r="H12" i="2"/>
  <c r="H14" i="2" s="1"/>
  <c r="G18" i="2"/>
  <c r="G3" i="2" s="1"/>
  <c r="F26" i="2"/>
  <c r="F28" i="2" s="1"/>
  <c r="X52" i="1"/>
  <c r="Y52" i="1" s="1"/>
  <c r="Y51" i="1"/>
  <c r="Q35" i="1"/>
  <c r="R35" i="1"/>
  <c r="H12" i="1"/>
  <c r="E12" i="1"/>
  <c r="G12" i="1" s="1"/>
  <c r="F12" i="1" s="1"/>
  <c r="F13" i="1" s="1"/>
  <c r="I22" i="1"/>
  <c r="I26" i="1" s="1"/>
  <c r="E29" i="1" s="1"/>
  <c r="F27" i="3" l="1"/>
  <c r="F29" i="3" s="1"/>
  <c r="H14" i="3"/>
  <c r="H21" i="3" s="1"/>
  <c r="F26" i="3"/>
  <c r="F28" i="3" s="1"/>
  <c r="G22" i="3"/>
  <c r="G21" i="3"/>
  <c r="P54" i="3"/>
  <c r="F54" i="3"/>
  <c r="H18" i="3"/>
  <c r="H3" i="3" s="1"/>
  <c r="Q27" i="3"/>
  <c r="Q29" i="3" s="1"/>
  <c r="Q26" i="3"/>
  <c r="Q28" i="3" s="1"/>
  <c r="G26" i="2"/>
  <c r="Q26" i="2"/>
  <c r="Q28" i="2" s="1"/>
  <c r="G28" i="2"/>
  <c r="H20" i="2"/>
  <c r="H21" i="2"/>
  <c r="H26" i="2" s="1"/>
  <c r="H28" i="2" s="1"/>
  <c r="L22" i="1"/>
  <c r="L23" i="1" s="1"/>
  <c r="L24" i="1" s="1"/>
  <c r="G29" i="1"/>
  <c r="F29" i="1"/>
  <c r="E35" i="1"/>
  <c r="H22" i="3" l="1"/>
  <c r="H27" i="3" s="1"/>
  <c r="H29" i="3" s="1"/>
  <c r="G27" i="3"/>
  <c r="G29" i="3" s="1"/>
  <c r="G26" i="3"/>
  <c r="G28" i="3" s="1"/>
  <c r="H25" i="2"/>
  <c r="H27" i="2" s="1"/>
  <c r="H29" i="1"/>
  <c r="M23" i="1"/>
  <c r="M22" i="1"/>
  <c r="M24" i="1"/>
  <c r="H26" i="3" l="1"/>
  <c r="H28" i="3" s="1"/>
  <c r="D37" i="4"/>
</calcChain>
</file>

<file path=xl/sharedStrings.xml><?xml version="1.0" encoding="utf-8"?>
<sst xmlns="http://schemas.openxmlformats.org/spreadsheetml/2006/main" count="297" uniqueCount="86">
  <si>
    <t>theta1</t>
    <phoneticPr fontId="1" type="noConversion"/>
  </si>
  <si>
    <t>theta2</t>
    <phoneticPr fontId="1" type="noConversion"/>
  </si>
  <si>
    <t>F1</t>
    <phoneticPr fontId="1" type="noConversion"/>
  </si>
  <si>
    <t>thata3</t>
    <phoneticPr fontId="1" type="noConversion"/>
  </si>
  <si>
    <t>ang</t>
    <phoneticPr fontId="1" type="noConversion"/>
  </si>
  <si>
    <t>180-ang</t>
    <phoneticPr fontId="1" type="noConversion"/>
  </si>
  <si>
    <t>degree</t>
    <phoneticPr fontId="1" type="noConversion"/>
  </si>
  <si>
    <t>radian</t>
    <phoneticPr fontId="1" type="noConversion"/>
  </si>
  <si>
    <t>sin</t>
    <phoneticPr fontId="1" type="noConversion"/>
  </si>
  <si>
    <t>F2</t>
    <phoneticPr fontId="1" type="noConversion"/>
  </si>
  <si>
    <t>mag</t>
    <phoneticPr fontId="1" type="noConversion"/>
  </si>
  <si>
    <t>x</t>
    <phoneticPr fontId="1" type="noConversion"/>
  </si>
  <si>
    <t>y</t>
    <phoneticPr fontId="1" type="noConversion"/>
  </si>
  <si>
    <t>R</t>
    <phoneticPr fontId="1" type="noConversion"/>
  </si>
  <si>
    <t>wgt</t>
    <phoneticPr fontId="1" type="noConversion"/>
  </si>
  <si>
    <t>dist</t>
    <phoneticPr fontId="1" type="noConversion"/>
  </si>
  <si>
    <t>Mnt</t>
    <phoneticPr fontId="1" type="noConversion"/>
  </si>
  <si>
    <t>result</t>
    <phoneticPr fontId="1" type="noConversion"/>
  </si>
  <si>
    <t>sum</t>
    <phoneticPr fontId="1" type="noConversion"/>
  </si>
  <si>
    <t>y</t>
    <phoneticPr fontId="1" type="noConversion"/>
  </si>
  <si>
    <t>Va</t>
    <phoneticPr fontId="1" type="noConversion"/>
  </si>
  <si>
    <t>Vb</t>
    <phoneticPr fontId="1" type="noConversion"/>
  </si>
  <si>
    <t>Ha</t>
    <phoneticPr fontId="1" type="noConversion"/>
  </si>
  <si>
    <t>Hb</t>
    <phoneticPr fontId="1" type="noConversion"/>
  </si>
  <si>
    <t>dx</t>
    <phoneticPr fontId="1" type="noConversion"/>
  </si>
  <si>
    <t>dy</t>
    <phoneticPr fontId="1" type="noConversion"/>
  </si>
  <si>
    <t>w</t>
    <phoneticPr fontId="1" type="noConversion"/>
  </si>
  <si>
    <t>m</t>
    <phoneticPr fontId="1" type="noConversion"/>
  </si>
  <si>
    <t>axial</t>
    <phoneticPr fontId="1" type="noConversion"/>
  </si>
  <si>
    <t>acc_fy</t>
    <phoneticPr fontId="1" type="noConversion"/>
  </si>
  <si>
    <t>Simple beam</t>
    <phoneticPr fontId="1" type="noConversion"/>
  </si>
  <si>
    <t>Cantilever beam</t>
    <phoneticPr fontId="1" type="noConversion"/>
  </si>
  <si>
    <t>E</t>
    <phoneticPr fontId="1" type="noConversion"/>
  </si>
  <si>
    <t>b</t>
    <phoneticPr fontId="1" type="noConversion"/>
  </si>
  <si>
    <t>h</t>
    <phoneticPr fontId="1" type="noConversion"/>
  </si>
  <si>
    <t>I</t>
    <phoneticPr fontId="1" type="noConversion"/>
  </si>
  <si>
    <t>P</t>
    <phoneticPr fontId="1" type="noConversion"/>
  </si>
  <si>
    <t>L</t>
    <phoneticPr fontId="1" type="noConversion"/>
  </si>
  <si>
    <t>PL^2/16</t>
    <phoneticPr fontId="1" type="noConversion"/>
  </si>
  <si>
    <t>PLx</t>
    <phoneticPr fontId="1" type="noConversion"/>
  </si>
  <si>
    <t>-Px^2/4</t>
    <phoneticPr fontId="1" type="noConversion"/>
  </si>
  <si>
    <t>-Px^2/2</t>
    <phoneticPr fontId="1" type="noConversion"/>
  </si>
  <si>
    <t>theta</t>
    <phoneticPr fontId="1" type="noConversion"/>
  </si>
  <si>
    <t>PL^2x/16</t>
    <phoneticPr fontId="1" type="noConversion"/>
  </si>
  <si>
    <t>PL^2x/2</t>
    <phoneticPr fontId="1" type="noConversion"/>
  </si>
  <si>
    <t>-Px^3/12</t>
    <phoneticPr fontId="1" type="noConversion"/>
  </si>
  <si>
    <t>-Px^3/6</t>
    <phoneticPr fontId="1" type="noConversion"/>
  </si>
  <si>
    <t>delta</t>
    <phoneticPr fontId="1" type="noConversion"/>
  </si>
  <si>
    <t>c</t>
    <phoneticPr fontId="1" type="noConversion"/>
  </si>
  <si>
    <t>s</t>
    <phoneticPr fontId="1" type="noConversion"/>
  </si>
  <si>
    <t>x'</t>
    <phoneticPr fontId="1" type="noConversion"/>
  </si>
  <si>
    <t>y'</t>
    <phoneticPr fontId="1" type="noConversion"/>
  </si>
  <si>
    <t>new x</t>
    <phoneticPr fontId="1" type="noConversion"/>
  </si>
  <si>
    <t>new y</t>
    <phoneticPr fontId="1" type="noConversion"/>
  </si>
  <si>
    <t>stress_theory</t>
    <phoneticPr fontId="1" type="noConversion"/>
  </si>
  <si>
    <t>stress_exp</t>
    <phoneticPr fontId="1" type="noConversion"/>
  </si>
  <si>
    <t>moment_exp</t>
    <phoneticPr fontId="1" type="noConversion"/>
  </si>
  <si>
    <t>moment_theory</t>
    <phoneticPr fontId="1" type="noConversion"/>
  </si>
  <si>
    <t>ε</t>
    <phoneticPr fontId="1" type="noConversion"/>
  </si>
  <si>
    <t>P=</t>
    <phoneticPr fontId="1" type="noConversion"/>
  </si>
  <si>
    <t>epsilon=</t>
    <phoneticPr fontId="1" type="noConversion"/>
  </si>
  <si>
    <t>D=</t>
    <phoneticPr fontId="1" type="noConversion"/>
  </si>
  <si>
    <t>M=</t>
    <phoneticPr fontId="1" type="noConversion"/>
  </si>
  <si>
    <t>sigma=</t>
    <phoneticPr fontId="1" type="noConversion"/>
  </si>
  <si>
    <t>simple beam</t>
    <phoneticPr fontId="1" type="noConversion"/>
  </si>
  <si>
    <t>cantilever</t>
    <phoneticPr fontId="1" type="noConversion"/>
  </si>
  <si>
    <t>disp</t>
    <phoneticPr fontId="1" type="noConversion"/>
  </si>
  <si>
    <t>p_theory</t>
    <phoneticPr fontId="1" type="noConversion"/>
  </si>
  <si>
    <t>p_exp</t>
    <phoneticPr fontId="1" type="noConversion"/>
  </si>
  <si>
    <t>moment_exp</t>
    <phoneticPr fontId="1" type="noConversion"/>
  </si>
  <si>
    <t>strain_exp</t>
    <phoneticPr fontId="1" type="noConversion"/>
  </si>
  <si>
    <t>load P</t>
    <phoneticPr fontId="1" type="noConversion"/>
  </si>
  <si>
    <t>disp D</t>
    <phoneticPr fontId="1" type="noConversion"/>
  </si>
  <si>
    <t>moment M</t>
    <phoneticPr fontId="1" type="noConversion"/>
  </si>
  <si>
    <t>load P</t>
    <phoneticPr fontId="1" type="noConversion"/>
  </si>
  <si>
    <t>theory</t>
    <phoneticPr fontId="1" type="noConversion"/>
  </si>
  <si>
    <t>experiment</t>
    <phoneticPr fontId="1" type="noConversion"/>
  </si>
  <si>
    <t>stress_exp</t>
    <phoneticPr fontId="1" type="noConversion"/>
  </si>
  <si>
    <t>moment_expt</t>
    <phoneticPr fontId="1" type="noConversion"/>
  </si>
  <si>
    <t>E=</t>
    <phoneticPr fontId="1" type="noConversion"/>
  </si>
  <si>
    <t>b=</t>
    <phoneticPr fontId="1" type="noConversion"/>
  </si>
  <si>
    <t>h=</t>
    <phoneticPr fontId="1" type="noConversion"/>
  </si>
  <si>
    <t>I=</t>
    <phoneticPr fontId="1" type="noConversion"/>
  </si>
  <si>
    <t>L=</t>
    <phoneticPr fontId="1" type="noConversion"/>
  </si>
  <si>
    <t>sigma_y=</t>
    <phoneticPr fontId="1" type="noConversion"/>
  </si>
  <si>
    <t>epsilon_y=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</si>
</sst>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43" formatCode="_-* #,##0.00_-;\-* #,##0.00_-;_-* &quot;-&quot;??_-;_-@_-"/>
    <numFmt numFmtId="176" formatCode="0.000"/>
    <numFmt numFmtId="177" formatCode="0.00_ "/>
    <numFmt numFmtId="178" formatCode="_-* #,##0.000_-;\-* #,##0.000_-;_-* &quot;-&quot;_-;_-@_-"/>
    <numFmt numFmtId="179" formatCode="0.0000"/>
    <numFmt numFmtId="184" formatCode="_-* #,##0.0_-;\-* #,##0.0_-;_-* &quot;-&quot;_-;_-@_-"/>
    <numFmt numFmtId="185" formatCode="_-* #,##0.00000_-;\-* #,##0.00000_-;_-* &quot;-&quot;??_-;_-@_-"/>
    <numFmt numFmtId="189" formatCode="_-* #,##0.00000_-;\-* #,##0.0000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179" fontId="0" fillId="0" borderId="0" xfId="0" applyNumberFormat="1">
      <alignment vertical="center"/>
    </xf>
    <xf numFmtId="0" fontId="0" fillId="0" borderId="0" xfId="0" quotePrefix="1">
      <alignment vertical="center"/>
    </xf>
    <xf numFmtId="4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41" fontId="0" fillId="0" borderId="0" xfId="1" applyFont="1">
      <alignment vertical="center"/>
    </xf>
    <xf numFmtId="184" fontId="0" fillId="0" borderId="0" xfId="1" applyNumberFormat="1" applyFont="1">
      <alignment vertical="center"/>
    </xf>
    <xf numFmtId="185" fontId="0" fillId="0" borderId="0" xfId="0" applyNumberFormat="1">
      <alignment vertical="center"/>
    </xf>
    <xf numFmtId="0" fontId="0" fillId="0" borderId="0" xfId="0" applyAlignment="1">
      <alignment vertical="center"/>
    </xf>
    <xf numFmtId="189" fontId="0" fillId="0" borderId="0" xfId="1" applyNumberFormat="1" applyFont="1">
      <alignment vertical="center"/>
    </xf>
    <xf numFmtId="178" fontId="0" fillId="0" borderId="0" xfId="1" applyNumberFormat="1" applyFont="1" applyAlignment="1">
      <alignment horizontal="center" vertical="center"/>
    </xf>
    <xf numFmtId="178" fontId="0" fillId="0" borderId="0" xfId="1" applyNumberFormat="1" applyFont="1" applyAlignment="1">
      <alignment horizontal="center" vertical="center"/>
    </xf>
    <xf numFmtId="18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8" fontId="0" fillId="0" borderId="0" xfId="1" applyNumberFormat="1" applyFont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'bending experiment'!$G$32:$G$51</c:f>
              <c:numCache>
                <c:formatCode>_-* #,##0.000_-;\-* #,##0.000_-;_-* "-"_-;_-@_-</c:formatCode>
                <c:ptCount val="20"/>
                <c:pt idx="0">
                  <c:v>52.36268221574344</c:v>
                </c:pt>
                <c:pt idx="1">
                  <c:v>46.85247813411079</c:v>
                </c:pt>
                <c:pt idx="2">
                  <c:v>41.342274052478139</c:v>
                </c:pt>
                <c:pt idx="3">
                  <c:v>35.832069970845488</c:v>
                </c:pt>
                <c:pt idx="4">
                  <c:v>30.32186588921283</c:v>
                </c:pt>
                <c:pt idx="5">
                  <c:v>24.811661807580176</c:v>
                </c:pt>
                <c:pt idx="6">
                  <c:v>19.301457725947522</c:v>
                </c:pt>
                <c:pt idx="7">
                  <c:v>13.791253644314869</c:v>
                </c:pt>
                <c:pt idx="8">
                  <c:v>8.2810495626822149</c:v>
                </c:pt>
                <c:pt idx="9">
                  <c:v>2.7708454810495629</c:v>
                </c:pt>
                <c:pt idx="10">
                  <c:v>-2.7708454810495629</c:v>
                </c:pt>
                <c:pt idx="11">
                  <c:v>-8.2810495626822149</c:v>
                </c:pt>
                <c:pt idx="12">
                  <c:v>-13.791253644314869</c:v>
                </c:pt>
                <c:pt idx="13">
                  <c:v>-19.301457725947522</c:v>
                </c:pt>
                <c:pt idx="14">
                  <c:v>-24.811661807580176</c:v>
                </c:pt>
                <c:pt idx="15">
                  <c:v>-30.32186588921283</c:v>
                </c:pt>
                <c:pt idx="16">
                  <c:v>-35.832069970845488</c:v>
                </c:pt>
                <c:pt idx="17">
                  <c:v>-41.342274052478139</c:v>
                </c:pt>
                <c:pt idx="18">
                  <c:v>-46.85247813411079</c:v>
                </c:pt>
                <c:pt idx="19">
                  <c:v>-52.36268221574344</c:v>
                </c:pt>
              </c:numCache>
            </c:numRef>
          </c:xVal>
          <c:yVal>
            <c:numRef>
              <c:f>'bending experiment'!$B$32:$B$51</c:f>
              <c:numCache>
                <c:formatCode>_-* #,##0.000_-;\-* #,##0.000_-;_-* "-"_-;_-@_-</c:formatCode>
                <c:ptCount val="20"/>
                <c:pt idx="0">
                  <c:v>16.63</c:v>
                </c:pt>
                <c:pt idx="1">
                  <c:v>14.88</c:v>
                </c:pt>
                <c:pt idx="2">
                  <c:v>13.13</c:v>
                </c:pt>
                <c:pt idx="3">
                  <c:v>11.38</c:v>
                </c:pt>
                <c:pt idx="4">
                  <c:v>9.6300000000000008</c:v>
                </c:pt>
                <c:pt idx="5">
                  <c:v>7.88</c:v>
                </c:pt>
                <c:pt idx="6">
                  <c:v>6.13</c:v>
                </c:pt>
                <c:pt idx="7">
                  <c:v>4.38</c:v>
                </c:pt>
                <c:pt idx="8">
                  <c:v>2.63</c:v>
                </c:pt>
                <c:pt idx="9">
                  <c:v>0.88</c:v>
                </c:pt>
                <c:pt idx="10">
                  <c:v>-0.88</c:v>
                </c:pt>
                <c:pt idx="11">
                  <c:v>-2.63</c:v>
                </c:pt>
                <c:pt idx="12">
                  <c:v>-4.38</c:v>
                </c:pt>
                <c:pt idx="13">
                  <c:v>-6.13</c:v>
                </c:pt>
                <c:pt idx="14">
                  <c:v>-7.88</c:v>
                </c:pt>
                <c:pt idx="15">
                  <c:v>-9.6300000000000008</c:v>
                </c:pt>
                <c:pt idx="16">
                  <c:v>-11.38</c:v>
                </c:pt>
                <c:pt idx="17">
                  <c:v>-13.13</c:v>
                </c:pt>
                <c:pt idx="18">
                  <c:v>-14.88</c:v>
                </c:pt>
                <c:pt idx="19">
                  <c:v>-16.63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6-48CA-AE39-690E1EA1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60480"/>
        <c:axId val="447863760"/>
      </c:scatterChart>
      <c:valAx>
        <c:axId val="4478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3760"/>
        <c:crosses val="autoZero"/>
        <c:crossBetween val="midCat"/>
      </c:valAx>
      <c:valAx>
        <c:axId val="4478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normal</a:t>
            </a:r>
            <a:r>
              <a:rPr lang="en-US" altLang="ko-KR" baseline="0"/>
              <a:t> stress at center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'based on stress'!$G$32</c:f>
              <c:strCache>
                <c:ptCount val="1"/>
                <c:pt idx="0">
                  <c:v>stress_exp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'based on stress'!$G$33:$G$53</c:f>
              <c:numCache>
                <c:formatCode>_-* #,##0.000_-;\-* #,##0.000_-;_-* "-"_-;_-@_-</c:formatCode>
                <c:ptCount val="21"/>
                <c:pt idx="3">
                  <c:v>-116.11</c:v>
                </c:pt>
                <c:pt idx="4">
                  <c:v>-99.31</c:v>
                </c:pt>
                <c:pt idx="5">
                  <c:v>-81.849999999999994</c:v>
                </c:pt>
                <c:pt idx="6">
                  <c:v>-65.88</c:v>
                </c:pt>
                <c:pt idx="7">
                  <c:v>-49.51</c:v>
                </c:pt>
                <c:pt idx="8">
                  <c:v>-31.86</c:v>
                </c:pt>
                <c:pt idx="9">
                  <c:v>-16.39</c:v>
                </c:pt>
                <c:pt idx="10">
                  <c:v>0</c:v>
                </c:pt>
                <c:pt idx="11">
                  <c:v>16.350000000000001</c:v>
                </c:pt>
                <c:pt idx="12">
                  <c:v>31.93</c:v>
                </c:pt>
                <c:pt idx="13">
                  <c:v>49.65</c:v>
                </c:pt>
                <c:pt idx="14">
                  <c:v>64.17</c:v>
                </c:pt>
                <c:pt idx="15">
                  <c:v>82.01</c:v>
                </c:pt>
                <c:pt idx="16">
                  <c:v>99.62</c:v>
                </c:pt>
                <c:pt idx="17">
                  <c:v>113.52</c:v>
                </c:pt>
              </c:numCache>
            </c:numRef>
          </c:xVal>
          <c:yVal>
            <c:numRef>
              <c:f>'based on stress'!$B$33:$B$53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C-4893-A9F3-A8D801243567}"/>
            </c:ext>
          </c:extLst>
        </c:ser>
        <c:ser>
          <c:idx val="1"/>
          <c:order val="1"/>
          <c:tx>
            <c:strRef>
              <c:f>'based on stress'!$E$32</c:f>
              <c:strCache>
                <c:ptCount val="1"/>
                <c:pt idx="0">
                  <c:v>stress_theory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'based on stress'!$E$33:$E$53</c:f>
              <c:numCache>
                <c:formatCode>_-* #,##0.000_-;\-* #,##0.000_-;_-* "-"_-;_-@_-</c:formatCode>
                <c:ptCount val="21"/>
                <c:pt idx="3">
                  <c:v>-479.01333333333326</c:v>
                </c:pt>
                <c:pt idx="4">
                  <c:v>-410.66666666666663</c:v>
                </c:pt>
                <c:pt idx="5">
                  <c:v>-342.32</c:v>
                </c:pt>
                <c:pt idx="6">
                  <c:v>-273.68</c:v>
                </c:pt>
                <c:pt idx="7">
                  <c:v>-205.33333333333331</c:v>
                </c:pt>
                <c:pt idx="8">
                  <c:v>-136.98666666666665</c:v>
                </c:pt>
                <c:pt idx="9">
                  <c:v>-68.346666666666664</c:v>
                </c:pt>
                <c:pt idx="10">
                  <c:v>0</c:v>
                </c:pt>
                <c:pt idx="11">
                  <c:v>68.346666666666664</c:v>
                </c:pt>
                <c:pt idx="12">
                  <c:v>136.98666666666665</c:v>
                </c:pt>
                <c:pt idx="13">
                  <c:v>205.33333333333331</c:v>
                </c:pt>
                <c:pt idx="14">
                  <c:v>273.68</c:v>
                </c:pt>
                <c:pt idx="15">
                  <c:v>342.32</c:v>
                </c:pt>
                <c:pt idx="16">
                  <c:v>410.66666666666663</c:v>
                </c:pt>
                <c:pt idx="17">
                  <c:v>479.01333333333326</c:v>
                </c:pt>
              </c:numCache>
            </c:numRef>
          </c:xVal>
          <c:yVal>
            <c:numRef>
              <c:f>'based on stress'!$B$33:$B$53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BC-4893-A9F3-A8D801243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60480"/>
        <c:axId val="447863760"/>
      </c:scatterChart>
      <c:valAx>
        <c:axId val="4478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3760"/>
        <c:crosses val="autoZero"/>
        <c:crossBetween val="midCat"/>
      </c:valAx>
      <c:valAx>
        <c:axId val="4478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load(P)-displacement(y) </a:t>
            </a:r>
            <a:r>
              <a:rPr lang="en-US" altLang="ko-KR" baseline="0"/>
              <a:t>at center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'based on stress'!$L$32</c:f>
              <c:strCache>
                <c:ptCount val="1"/>
                <c:pt idx="0">
                  <c:v>p_exp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'based on stress'!$L$33:$L$38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4.5</c:v>
                </c:pt>
                <c:pt idx="3">
                  <c:v>6</c:v>
                </c:pt>
                <c:pt idx="4">
                  <c:v>8.5</c:v>
                </c:pt>
                <c:pt idx="5">
                  <c:v>10.5</c:v>
                </c:pt>
              </c:numCache>
            </c:numRef>
          </c:xVal>
          <c:yVal>
            <c:numRef>
              <c:f>'based on stress'!$J$33:$J$38</c:f>
              <c:numCache>
                <c:formatCode>General</c:formatCode>
                <c:ptCount val="6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C-4893-A9F3-A8D801243567}"/>
            </c:ext>
          </c:extLst>
        </c:ser>
        <c:ser>
          <c:idx val="1"/>
          <c:order val="1"/>
          <c:tx>
            <c:strRef>
              <c:f>'based on stress'!$K$32</c:f>
              <c:strCache>
                <c:ptCount val="1"/>
                <c:pt idx="0">
                  <c:v>p_theory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'based on stress'!$K$33:$K$38</c:f>
              <c:numCache>
                <c:formatCode>General</c:formatCode>
                <c:ptCount val="6"/>
                <c:pt idx="0">
                  <c:v>0</c:v>
                </c:pt>
                <c:pt idx="1">
                  <c:v>2.0990000000000002</c:v>
                </c:pt>
                <c:pt idx="2">
                  <c:v>4.1980000000000004</c:v>
                </c:pt>
                <c:pt idx="3">
                  <c:v>6.2969999999999997</c:v>
                </c:pt>
                <c:pt idx="4">
                  <c:v>8.3970000000000002</c:v>
                </c:pt>
                <c:pt idx="5">
                  <c:v>10.496</c:v>
                </c:pt>
              </c:numCache>
            </c:numRef>
          </c:xVal>
          <c:yVal>
            <c:numRef>
              <c:f>'based on stress'!$J$33:$J$38</c:f>
              <c:numCache>
                <c:formatCode>General</c:formatCode>
                <c:ptCount val="6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BC-4893-A9F3-A8D801243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60480"/>
        <c:axId val="447863760"/>
      </c:scatterChart>
      <c:valAx>
        <c:axId val="4478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3760"/>
        <c:crosses val="autoZero"/>
        <c:crossBetween val="midCat"/>
      </c:valAx>
      <c:valAx>
        <c:axId val="4478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normal</a:t>
            </a:r>
            <a:r>
              <a:rPr lang="en-US" altLang="ko-KR" baseline="0"/>
              <a:t> stress at center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'load-displacement'!$D$7</c:f>
              <c:strCache>
                <c:ptCount val="1"/>
                <c:pt idx="0">
                  <c:v> 5.0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'load-displacement'!$C$34:$C$44</c:f>
              <c:numCache>
                <c:formatCode>_-* #,##0.00000_-;\-* #,##0.00000_-;_-* "-"_-;_-@_-</c:formatCode>
                <c:ptCount val="11"/>
                <c:pt idx="3">
                  <c:v>53.699999999999996</c:v>
                </c:pt>
                <c:pt idx="4">
                  <c:v>47.265000000000001</c:v>
                </c:pt>
                <c:pt idx="5">
                  <c:v>38.998000000000005</c:v>
                </c:pt>
                <c:pt idx="6">
                  <c:v>31.041499999999999</c:v>
                </c:pt>
                <c:pt idx="7">
                  <c:v>22.843</c:v>
                </c:pt>
                <c:pt idx="8">
                  <c:v>15.456999999999999</c:v>
                </c:pt>
                <c:pt idx="9">
                  <c:v>7.5434999999999999</c:v>
                </c:pt>
                <c:pt idx="10">
                  <c:v>0</c:v>
                </c:pt>
              </c:numCache>
            </c:numRef>
          </c:xVal>
          <c:yVal>
            <c:numRef>
              <c:f>'load-displacement'!$B$34:$B$44</c:f>
              <c:numCache>
                <c:formatCode>_-* #,##0.000_-;\-* #,##0.000_-;_-* "-"_-;_-@_-</c:formatCode>
                <c:ptCount val="1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5-4F3E-BB23-93B9A4A3F363}"/>
            </c:ext>
          </c:extLst>
        </c:ser>
        <c:ser>
          <c:idx val="1"/>
          <c:order val="1"/>
          <c:tx>
            <c:strRef>
              <c:f>'load-displacement'!$F$7</c:f>
              <c:strCache>
                <c:ptCount val="1"/>
                <c:pt idx="0">
                  <c:v> 10.0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'load-displacement'!$E$34:$E$44</c:f>
              <c:numCache>
                <c:formatCode>_-* #,##0.00000_-;\-* #,##0.00000_-;_-* "-"_-;_-@_-</c:formatCode>
                <c:ptCount val="11"/>
                <c:pt idx="3">
                  <c:v>107.714</c:v>
                </c:pt>
                <c:pt idx="4">
                  <c:v>94.668999999999997</c:v>
                </c:pt>
                <c:pt idx="5">
                  <c:v>76.385000000000005</c:v>
                </c:pt>
                <c:pt idx="6">
                  <c:v>63.021500000000003</c:v>
                </c:pt>
                <c:pt idx="7">
                  <c:v>45.718499999999999</c:v>
                </c:pt>
                <c:pt idx="8">
                  <c:v>30.97</c:v>
                </c:pt>
                <c:pt idx="9">
                  <c:v>15.468500000000001</c:v>
                </c:pt>
                <c:pt idx="10">
                  <c:v>0</c:v>
                </c:pt>
              </c:numCache>
            </c:numRef>
          </c:xVal>
          <c:yVal>
            <c:numRef>
              <c:f>'load-displacement'!$B$34:$B$44</c:f>
              <c:numCache>
                <c:formatCode>_-* #,##0.000_-;\-* #,##0.000_-;_-* "-"_-;_-@_-</c:formatCode>
                <c:ptCount val="1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C5-4F3E-BB23-93B9A4A3F363}"/>
            </c:ext>
          </c:extLst>
        </c:ser>
        <c:ser>
          <c:idx val="2"/>
          <c:order val="2"/>
          <c:tx>
            <c:strRef>
              <c:f>'load-displacement'!$H$7</c:f>
              <c:strCache>
                <c:ptCount val="1"/>
                <c:pt idx="0">
                  <c:v> 15.0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'load-displacement'!$G$34:$G$44</c:f>
              <c:numCache>
                <c:formatCode>_-* #,##0.00000_-;\-* #,##0.00000_-;_-* "-"_-;_-@_-</c:formatCode>
                <c:ptCount val="11"/>
                <c:pt idx="3">
                  <c:v>162.4</c:v>
                </c:pt>
                <c:pt idx="4">
                  <c:v>139.273</c:v>
                </c:pt>
                <c:pt idx="5">
                  <c:v>116.9045</c:v>
                </c:pt>
                <c:pt idx="6">
                  <c:v>94.831499999999991</c:v>
                </c:pt>
                <c:pt idx="7">
                  <c:v>68.983999999999995</c:v>
                </c:pt>
                <c:pt idx="8">
                  <c:v>47.4495</c:v>
                </c:pt>
                <c:pt idx="9">
                  <c:v>23.295500000000001</c:v>
                </c:pt>
                <c:pt idx="10">
                  <c:v>0</c:v>
                </c:pt>
              </c:numCache>
            </c:numRef>
          </c:xVal>
          <c:yVal>
            <c:numRef>
              <c:f>'load-displacement'!$B$34:$B$44</c:f>
              <c:numCache>
                <c:formatCode>_-* #,##0.000_-;\-* #,##0.000_-;_-* "-"_-;_-@_-</c:formatCode>
                <c:ptCount val="1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C5-4F3E-BB23-93B9A4A3F363}"/>
            </c:ext>
          </c:extLst>
        </c:ser>
        <c:ser>
          <c:idx val="3"/>
          <c:order val="3"/>
          <c:tx>
            <c:strRef>
              <c:f>'load-displacement'!$J$7</c:f>
              <c:strCache>
                <c:ptCount val="1"/>
                <c:pt idx="0">
                  <c:v> 20.0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'load-displacement'!$I$34:$I$44</c:f>
              <c:numCache>
                <c:formatCode>_-* #,##0.00000_-;\-* #,##0.00000_-;_-* "-"_-;_-@_-</c:formatCode>
                <c:ptCount val="11"/>
                <c:pt idx="3">
                  <c:v>215.19900000000001</c:v>
                </c:pt>
                <c:pt idx="4">
                  <c:v>184.33499999999998</c:v>
                </c:pt>
                <c:pt idx="5">
                  <c:v>154.07749999999999</c:v>
                </c:pt>
                <c:pt idx="6">
                  <c:v>121.7795</c:v>
                </c:pt>
                <c:pt idx="7">
                  <c:v>93.739500000000007</c:v>
                </c:pt>
                <c:pt idx="8">
                  <c:v>60.459499999999998</c:v>
                </c:pt>
                <c:pt idx="9">
                  <c:v>30.409500000000001</c:v>
                </c:pt>
                <c:pt idx="10">
                  <c:v>0</c:v>
                </c:pt>
              </c:numCache>
            </c:numRef>
          </c:xVal>
          <c:yVal>
            <c:numRef>
              <c:f>'load-displacement'!$B$34:$B$44</c:f>
              <c:numCache>
                <c:formatCode>_-* #,##0.000_-;\-* #,##0.000_-;_-* "-"_-;_-@_-</c:formatCode>
                <c:ptCount val="1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C5-4F3E-BB23-93B9A4A3F363}"/>
            </c:ext>
          </c:extLst>
        </c:ser>
        <c:ser>
          <c:idx val="4"/>
          <c:order val="4"/>
          <c:tx>
            <c:strRef>
              <c:f>'load-displacement'!$L$7</c:f>
              <c:strCache>
                <c:ptCount val="1"/>
                <c:pt idx="0">
                  <c:v> 25.0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'load-displacement'!$K$34:$K$44</c:f>
              <c:numCache>
                <c:formatCode>_-* #,##0.00000_-;\-* #,##0.00000_-;_-* "-"_-;_-@_-</c:formatCode>
                <c:ptCount val="11"/>
                <c:pt idx="3">
                  <c:v>250</c:v>
                </c:pt>
                <c:pt idx="4">
                  <c:v>232.441</c:v>
                </c:pt>
                <c:pt idx="5">
                  <c:v>194.9975</c:v>
                </c:pt>
                <c:pt idx="6">
                  <c:v>157.59649999999999</c:v>
                </c:pt>
                <c:pt idx="7">
                  <c:v>117.5945</c:v>
                </c:pt>
                <c:pt idx="8">
                  <c:v>79.08250000000001</c:v>
                </c:pt>
                <c:pt idx="9">
                  <c:v>38.637500000000003</c:v>
                </c:pt>
                <c:pt idx="10">
                  <c:v>0</c:v>
                </c:pt>
              </c:numCache>
            </c:numRef>
          </c:xVal>
          <c:yVal>
            <c:numRef>
              <c:f>'load-displacement'!$B$34:$B$44</c:f>
              <c:numCache>
                <c:formatCode>_-* #,##0.000_-;\-* #,##0.000_-;_-* "-"_-;_-@_-</c:formatCode>
                <c:ptCount val="1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C5-4F3E-BB23-93B9A4A3F363}"/>
            </c:ext>
          </c:extLst>
        </c:ser>
        <c:ser>
          <c:idx val="5"/>
          <c:order val="5"/>
          <c:tx>
            <c:strRef>
              <c:f>'load-displacement'!$N$7</c:f>
              <c:strCache>
                <c:ptCount val="1"/>
                <c:pt idx="0">
                  <c:v> 30.0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'load-displacement'!$M$34:$M$44</c:f>
              <c:numCache>
                <c:formatCode>_-* #,##0.00000_-;\-* #,##0.00000_-;_-* "-"_-;_-@_-</c:formatCode>
                <c:ptCount val="11"/>
                <c:pt idx="3">
                  <c:v>250</c:v>
                </c:pt>
                <c:pt idx="4">
                  <c:v>250</c:v>
                </c:pt>
                <c:pt idx="5">
                  <c:v>230.321</c:v>
                </c:pt>
                <c:pt idx="6">
                  <c:v>188.11799999999999</c:v>
                </c:pt>
                <c:pt idx="7">
                  <c:v>137.66300000000001</c:v>
                </c:pt>
                <c:pt idx="8">
                  <c:v>93.216999999999999</c:v>
                </c:pt>
                <c:pt idx="9">
                  <c:v>46.870000000000005</c:v>
                </c:pt>
                <c:pt idx="10">
                  <c:v>0</c:v>
                </c:pt>
              </c:numCache>
            </c:numRef>
          </c:xVal>
          <c:yVal>
            <c:numRef>
              <c:f>'load-displacement'!$B$34:$B$44</c:f>
              <c:numCache>
                <c:formatCode>_-* #,##0.000_-;\-* #,##0.000_-;_-* "-"_-;_-@_-</c:formatCode>
                <c:ptCount val="1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C5-4F3E-BB23-93B9A4A3F363}"/>
            </c:ext>
          </c:extLst>
        </c:ser>
        <c:ser>
          <c:idx val="6"/>
          <c:order val="6"/>
          <c:tx>
            <c:strRef>
              <c:f>'load-displacement'!$P$7</c:f>
              <c:strCache>
                <c:ptCount val="1"/>
                <c:pt idx="0">
                  <c:v> 35.0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'load-displacement'!$O$34:$O$44</c:f>
              <c:numCache>
                <c:formatCode>_-* #,##0.00000_-;\-* #,##0.00000_-;_-* "-"_-;_-@_-</c:formatCode>
                <c:ptCount val="11"/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217.98399999999998</c:v>
                </c:pt>
                <c:pt idx="7">
                  <c:v>164.2165</c:v>
                </c:pt>
                <c:pt idx="8">
                  <c:v>108.88250000000001</c:v>
                </c:pt>
                <c:pt idx="9">
                  <c:v>53.985500000000002</c:v>
                </c:pt>
                <c:pt idx="10">
                  <c:v>0</c:v>
                </c:pt>
              </c:numCache>
            </c:numRef>
          </c:xVal>
          <c:yVal>
            <c:numRef>
              <c:f>'load-displacement'!$B$34:$B$44</c:f>
              <c:numCache>
                <c:formatCode>_-* #,##0.000_-;\-* #,##0.000_-;_-* "-"_-;_-@_-</c:formatCode>
                <c:ptCount val="1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C5-4F3E-BB23-93B9A4A3F363}"/>
            </c:ext>
          </c:extLst>
        </c:ser>
        <c:ser>
          <c:idx val="7"/>
          <c:order val="7"/>
          <c:tx>
            <c:strRef>
              <c:f>'load-displacement'!$R$7</c:f>
              <c:strCache>
                <c:ptCount val="1"/>
                <c:pt idx="0">
                  <c:v> 40.0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'load-displacement'!$Q$34:$Q$44</c:f>
              <c:numCache>
                <c:formatCode>_-* #,##0.00000_-;\-* #,##0.00000_-;_-* "-"_-;_-@_-</c:formatCode>
                <c:ptCount val="11"/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186.39</c:v>
                </c:pt>
                <c:pt idx="8">
                  <c:v>124.182</c:v>
                </c:pt>
                <c:pt idx="9">
                  <c:v>60.335999999999999</c:v>
                </c:pt>
                <c:pt idx="10">
                  <c:v>0</c:v>
                </c:pt>
              </c:numCache>
            </c:numRef>
          </c:xVal>
          <c:yVal>
            <c:numRef>
              <c:f>'load-displacement'!$B$34:$B$44</c:f>
              <c:numCache>
                <c:formatCode>_-* #,##0.000_-;\-* #,##0.000_-;_-* "-"_-;_-@_-</c:formatCode>
                <c:ptCount val="1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C5-4F3E-BB23-93B9A4A3F363}"/>
            </c:ext>
          </c:extLst>
        </c:ser>
        <c:ser>
          <c:idx val="8"/>
          <c:order val="8"/>
          <c:tx>
            <c:strRef>
              <c:f>'load-displacement'!$T$7</c:f>
              <c:strCache>
                <c:ptCount val="1"/>
                <c:pt idx="0">
                  <c:v> 45.0 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'load-displacement'!$S$34:$S$44</c:f>
              <c:numCache>
                <c:formatCode>_-* #,##0.00000_-;\-* #,##0.00000_-;_-* "-"_-;_-@_-</c:formatCode>
                <c:ptCount val="11"/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211.1285</c:v>
                </c:pt>
                <c:pt idx="8">
                  <c:v>142.50649999999999</c:v>
                </c:pt>
                <c:pt idx="9">
                  <c:v>68.744500000000002</c:v>
                </c:pt>
                <c:pt idx="10">
                  <c:v>0</c:v>
                </c:pt>
              </c:numCache>
            </c:numRef>
          </c:xVal>
          <c:yVal>
            <c:numRef>
              <c:f>'load-displacement'!$B$34:$B$44</c:f>
              <c:numCache>
                <c:formatCode>_-* #,##0.000_-;\-* #,##0.000_-;_-* "-"_-;_-@_-</c:formatCode>
                <c:ptCount val="1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C5-4F3E-BB23-93B9A4A3F363}"/>
            </c:ext>
          </c:extLst>
        </c:ser>
        <c:ser>
          <c:idx val="9"/>
          <c:order val="9"/>
          <c:tx>
            <c:strRef>
              <c:f>'load-displacement'!$V$7</c:f>
              <c:strCache>
                <c:ptCount val="1"/>
                <c:pt idx="0">
                  <c:v> 50.0 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'load-displacement'!$U$34:$U$44</c:f>
              <c:numCache>
                <c:formatCode>_-* #,##0.00000_-;\-* #,##0.00000_-;_-* "-"_-;_-@_-</c:formatCode>
                <c:ptCount val="11"/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234.637</c:v>
                </c:pt>
                <c:pt idx="8">
                  <c:v>153.93600000000001</c:v>
                </c:pt>
                <c:pt idx="9">
                  <c:v>76.995000000000005</c:v>
                </c:pt>
                <c:pt idx="10">
                  <c:v>0</c:v>
                </c:pt>
              </c:numCache>
            </c:numRef>
          </c:xVal>
          <c:yVal>
            <c:numRef>
              <c:f>'load-displacement'!$B$34:$B$44</c:f>
              <c:numCache>
                <c:formatCode>_-* #,##0.000_-;\-* #,##0.000_-;_-* "-"_-;_-@_-</c:formatCode>
                <c:ptCount val="1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C5-4F3E-BB23-93B9A4A3F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60480"/>
        <c:axId val="447863760"/>
      </c:scatterChart>
      <c:valAx>
        <c:axId val="4478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3760"/>
        <c:crosses val="autoZero"/>
        <c:crossBetween val="midCat"/>
      </c:valAx>
      <c:valAx>
        <c:axId val="4478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load(P)-displacement(y) </a:t>
            </a:r>
            <a:r>
              <a:rPr lang="en-US" altLang="ko-KR" baseline="0"/>
              <a:t>at center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'load-displacement'!$Y$5</c:f>
              <c:strCache>
                <c:ptCount val="1"/>
                <c:pt idx="0">
                  <c:v>p_theory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'load-displacement'!$X$6:$X$16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'load-displacement'!$Y$6:$Y$16</c:f>
              <c:numCache>
                <c:formatCode>_-* #,##0.0_-;\-* #,##0.0_-;_-* "-"_-;_-@_-</c:formatCode>
                <c:ptCount val="11"/>
                <c:pt idx="0" formatCode="General">
                  <c:v>0</c:v>
                </c:pt>
                <c:pt idx="1">
                  <c:v>4763.8888888888887</c:v>
                </c:pt>
                <c:pt idx="2">
                  <c:v>9527.7777777777774</c:v>
                </c:pt>
                <c:pt idx="3">
                  <c:v>14291.666666666666</c:v>
                </c:pt>
                <c:pt idx="4">
                  <c:v>19055.555555555555</c:v>
                </c:pt>
                <c:pt idx="5">
                  <c:v>23819.444444444445</c:v>
                </c:pt>
                <c:pt idx="6">
                  <c:v>28583.333333333332</c:v>
                </c:pt>
                <c:pt idx="7">
                  <c:v>33347.222222222219</c:v>
                </c:pt>
                <c:pt idx="8">
                  <c:v>38111.111111111109</c:v>
                </c:pt>
                <c:pt idx="9">
                  <c:v>42875</c:v>
                </c:pt>
                <c:pt idx="10">
                  <c:v>47638.888888888891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2-40DA-9860-CD0904E7A9E2}"/>
            </c:ext>
          </c:extLst>
        </c:ser>
        <c:ser>
          <c:idx val="1"/>
          <c:order val="1"/>
          <c:tx>
            <c:strRef>
              <c:f>'load-displacement'!$Z$5</c:f>
              <c:strCache>
                <c:ptCount val="1"/>
                <c:pt idx="0">
                  <c:v>p_exp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'load-displacement'!$X$6:$X$16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'load-displacement'!$Z$6:$Z$16</c:f>
              <c:numCache>
                <c:formatCode>_-* #,##0.0_-;\-* #,##0.0_-;_-* "-"_-;_-@_-</c:formatCode>
                <c:ptCount val="11"/>
                <c:pt idx="0" formatCode="General">
                  <c:v>0</c:v>
                </c:pt>
                <c:pt idx="1">
                  <c:v>4728.2972799999998</c:v>
                </c:pt>
                <c:pt idx="2">
                  <c:v>9453.621650666666</c:v>
                </c:pt>
                <c:pt idx="3">
                  <c:v>14204.629768000001</c:v>
                </c:pt>
                <c:pt idx="4">
                  <c:v>18738.632882666665</c:v>
                </c:pt>
                <c:pt idx="5">
                  <c:v>23081.654997333335</c:v>
                </c:pt>
                <c:pt idx="6">
                  <c:v>25262.8292</c:v>
                </c:pt>
                <c:pt idx="7">
                  <c:v>26726.137591999999</c:v>
                </c:pt>
                <c:pt idx="8">
                  <c:v>27734.453264</c:v>
                </c:pt>
                <c:pt idx="9">
                  <c:v>28254.015141333337</c:v>
                </c:pt>
                <c:pt idx="10">
                  <c:v>28696.711810666664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2-40DA-9860-CD0904E7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60480"/>
        <c:axId val="447863760"/>
      </c:scatterChart>
      <c:valAx>
        <c:axId val="4478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3760"/>
        <c:crosses val="autoZero"/>
        <c:crossBetween val="midCat"/>
      </c:valAx>
      <c:valAx>
        <c:axId val="4478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25</xdr:row>
      <xdr:rowOff>152399</xdr:rowOff>
    </xdr:from>
    <xdr:to>
      <xdr:col>13</xdr:col>
      <xdr:colOff>476250</xdr:colOff>
      <xdr:row>50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C19822-5D40-49E9-8188-1D540E21E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348503</xdr:colOff>
      <xdr:row>54</xdr:row>
      <xdr:rowOff>210110</xdr:rowOff>
    </xdr:from>
    <xdr:to>
      <xdr:col>8</xdr:col>
      <xdr:colOff>59391</xdr:colOff>
      <xdr:row>80</xdr:row>
      <xdr:rowOff>86285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C19822-5D40-49E9-8188-1D540E21E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583826</xdr:colOff>
      <xdr:row>38</xdr:row>
      <xdr:rowOff>176492</xdr:rowOff>
    </xdr:from>
    <xdr:to>
      <xdr:col>13</xdr:col>
      <xdr:colOff>294714</xdr:colOff>
      <xdr:row>64</xdr:row>
      <xdr:rowOff>52667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6C19822-5D40-49E9-8188-1D540E21E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400750</xdr:colOff>
      <xdr:row>35</xdr:row>
      <xdr:rowOff>175762</xdr:rowOff>
    </xdr:from>
    <xdr:to>
      <xdr:col>10</xdr:col>
      <xdr:colOff>853468</xdr:colOff>
      <xdr:row>62</xdr:row>
      <xdr:rowOff>57031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C19822-5D40-49E9-8188-1D540E21E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488331</xdr:colOff>
      <xdr:row>35</xdr:row>
      <xdr:rowOff>158593</xdr:rowOff>
    </xdr:from>
    <xdr:to>
      <xdr:col>18</xdr:col>
      <xdr:colOff>801382</xdr:colOff>
      <xdr:row>61</xdr:row>
      <xdr:rowOff>43571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6C19822-5D40-49E9-8188-1D540E21E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opLeftCell="A4" zoomScale="85" zoomScaleNormal="85" workbookViewId="0">
      <selection activeCell="R61" sqref="R61"/>
    </sheetView>
  </sheetViews>
  <sheetFormatPr defaultRowHeight="16.5" x14ac:dyDescent="0.3"/>
  <cols>
    <col min="3" max="3" width="4" customWidth="1"/>
    <col min="5" max="9" width="8.875" customWidth="1"/>
    <col min="10" max="10" width="3.75" customWidth="1"/>
    <col min="11" max="11" width="5" customWidth="1"/>
    <col min="12" max="17" width="12.5" customWidth="1"/>
    <col min="20" max="25" width="12.625" customWidth="1"/>
  </cols>
  <sheetData>
    <row r="1" spans="1:25" x14ac:dyDescent="0.3">
      <c r="A1">
        <f>70.698*34.6278+7133</f>
        <v>9581.1162043999993</v>
      </c>
    </row>
    <row r="2" spans="1:25" x14ac:dyDescent="0.3">
      <c r="A2">
        <f>A1/47.45</f>
        <v>201.92025720547943</v>
      </c>
    </row>
    <row r="3" spans="1:25" x14ac:dyDescent="0.3">
      <c r="A3">
        <f>(70.7-47.45)*201.9+71.33*(100-70.7)</f>
        <v>6784.1440000000002</v>
      </c>
    </row>
    <row r="4" spans="1:25" x14ac:dyDescent="0.3">
      <c r="A4">
        <f>95.944*70.7</f>
        <v>6783.2408000000005</v>
      </c>
      <c r="E4" t="s">
        <v>4</v>
      </c>
      <c r="F4" t="s">
        <v>5</v>
      </c>
      <c r="G4" t="s">
        <v>7</v>
      </c>
      <c r="H4" t="s">
        <v>8</v>
      </c>
      <c r="L4">
        <v>1</v>
      </c>
      <c r="M4">
        <v>2</v>
      </c>
      <c r="N4">
        <v>3</v>
      </c>
      <c r="O4">
        <v>4</v>
      </c>
      <c r="P4">
        <v>5</v>
      </c>
      <c r="Q4" t="s">
        <v>17</v>
      </c>
    </row>
    <row r="5" spans="1:25" x14ac:dyDescent="0.3">
      <c r="D5" t="s">
        <v>0</v>
      </c>
      <c r="E5" s="2">
        <v>74.95</v>
      </c>
      <c r="F5" s="2">
        <f>90-E5</f>
        <v>15.049999999999997</v>
      </c>
      <c r="G5" s="2">
        <f>F5*PI()/180</f>
        <v>0.26267205242514652</v>
      </c>
      <c r="H5" s="2">
        <f>SIN(G5)</f>
        <v>0.25966187574449145</v>
      </c>
      <c r="K5" t="s">
        <v>14</v>
      </c>
      <c r="L5" s="2">
        <f>Q10</f>
        <v>964.2700000000001</v>
      </c>
      <c r="M5" s="2">
        <v>119.45</v>
      </c>
      <c r="N5" s="2">
        <v>72.930000000000007</v>
      </c>
      <c r="O5" s="2">
        <v>102.8</v>
      </c>
      <c r="P5" s="2">
        <f>Y10</f>
        <v>643.16000000000008</v>
      </c>
      <c r="Q5" s="2">
        <f>SUM(L5:P5)</f>
        <v>1902.6100000000001</v>
      </c>
    </row>
    <row r="6" spans="1:25" x14ac:dyDescent="0.3">
      <c r="A6">
        <f>10^(1/3)</f>
        <v>2.1544346900318838</v>
      </c>
      <c r="B6">
        <f>10^(1/2)</f>
        <v>3.1622776601683795</v>
      </c>
      <c r="D6" t="s">
        <v>1</v>
      </c>
      <c r="E6" s="2">
        <v>39.9</v>
      </c>
      <c r="F6" s="2">
        <f>90-E6</f>
        <v>50.1</v>
      </c>
      <c r="G6" s="2">
        <f t="shared" ref="G6:G7" si="0">F6*PI()/180</f>
        <v>0.8744099552491591</v>
      </c>
      <c r="H6" s="2">
        <f t="shared" ref="H6:H7" si="1">SIN(G6)</f>
        <v>0.76716515181529954</v>
      </c>
      <c r="K6" t="s">
        <v>15</v>
      </c>
      <c r="L6" s="2">
        <v>27</v>
      </c>
      <c r="M6" s="2">
        <v>90.34</v>
      </c>
      <c r="N6" s="2">
        <v>101.08</v>
      </c>
      <c r="O6" s="2">
        <v>161.36000000000001</v>
      </c>
      <c r="P6" s="2">
        <v>210</v>
      </c>
      <c r="Q6" s="2">
        <f>Q7/Q5</f>
        <v>102.93732052286072</v>
      </c>
    </row>
    <row r="7" spans="1:25" x14ac:dyDescent="0.3">
      <c r="A7">
        <f>200^(1/3)</f>
        <v>5.8480354764257312</v>
      </c>
      <c r="B7">
        <f>200^(1/2)</f>
        <v>14.142135623730951</v>
      </c>
      <c r="D7" t="s">
        <v>3</v>
      </c>
      <c r="E7" s="2"/>
      <c r="F7" s="2">
        <f>180-F5-F6</f>
        <v>114.85</v>
      </c>
      <c r="G7" s="2">
        <f t="shared" si="0"/>
        <v>2.0045106459154876</v>
      </c>
      <c r="H7" s="2">
        <f t="shared" si="1"/>
        <v>0.90741109192869673</v>
      </c>
      <c r="K7" t="s">
        <v>16</v>
      </c>
      <c r="L7" s="2">
        <f>L5*L6</f>
        <v>26035.29</v>
      </c>
      <c r="M7" s="2">
        <f>M5*M6</f>
        <v>10791.113000000001</v>
      </c>
      <c r="N7" s="2">
        <f>N5*N6</f>
        <v>7371.7644000000009</v>
      </c>
      <c r="O7" s="2">
        <f>O5*O6</f>
        <v>16587.808000000001</v>
      </c>
      <c r="P7" s="2">
        <f>P5*P6</f>
        <v>135063.6</v>
      </c>
      <c r="Q7" s="2">
        <f>SUM(L7:P7)</f>
        <v>195849.57540000003</v>
      </c>
    </row>
    <row r="8" spans="1:25" x14ac:dyDescent="0.3">
      <c r="L8" s="2"/>
      <c r="M8" s="2"/>
      <c r="N8" s="2"/>
      <c r="O8" s="2"/>
      <c r="P8" s="2"/>
      <c r="Q8" s="2"/>
    </row>
    <row r="9" spans="1:25" x14ac:dyDescent="0.3">
      <c r="A9">
        <f>817.2876*65.4245</f>
        <v>53470.632586199994</v>
      </c>
      <c r="E9" t="s">
        <v>10</v>
      </c>
      <c r="F9" t="s">
        <v>4</v>
      </c>
      <c r="G9" t="s">
        <v>6</v>
      </c>
      <c r="H9" t="s">
        <v>11</v>
      </c>
      <c r="I9" t="s">
        <v>12</v>
      </c>
      <c r="L9" s="2"/>
      <c r="M9" s="2"/>
      <c r="N9" s="2"/>
      <c r="O9" s="2"/>
      <c r="P9" s="2"/>
      <c r="Q9" s="2"/>
    </row>
    <row r="10" spans="1:25" x14ac:dyDescent="0.3">
      <c r="A10">
        <f>73.16356*65.9205+486.4765*100</f>
        <v>53470.628456980005</v>
      </c>
      <c r="D10" t="s">
        <v>2</v>
      </c>
      <c r="E10" s="1">
        <f>H6*100/H7</f>
        <v>84.544387724498137</v>
      </c>
      <c r="F10" s="1">
        <f>E5</f>
        <v>74.95</v>
      </c>
      <c r="G10" s="1">
        <f>F10*PI()/180</f>
        <v>1.3081242743697499</v>
      </c>
      <c r="H10" s="1">
        <f>E10*COS(G10)</f>
        <v>21.952954300212763</v>
      </c>
      <c r="I10" s="1">
        <f>E10*SIN(G10)</f>
        <v>81.644481094578836</v>
      </c>
      <c r="K10" t="s">
        <v>14</v>
      </c>
      <c r="L10" s="2">
        <v>182.69</v>
      </c>
      <c r="M10" s="2">
        <f>Q15</f>
        <v>662.2600000000001</v>
      </c>
      <c r="N10" s="2">
        <v>76.61</v>
      </c>
      <c r="O10" s="2">
        <v>42.71</v>
      </c>
      <c r="P10" s="2"/>
      <c r="Q10" s="2">
        <f>SUM(L10:P10)</f>
        <v>964.2700000000001</v>
      </c>
      <c r="S10" t="s">
        <v>14</v>
      </c>
      <c r="T10" s="2">
        <v>169.55</v>
      </c>
      <c r="U10" s="2">
        <f>Y15</f>
        <v>293.26000000000005</v>
      </c>
      <c r="V10" s="2">
        <v>140.12</v>
      </c>
      <c r="W10" s="2">
        <v>40.229999999999997</v>
      </c>
      <c r="X10" s="2"/>
      <c r="Y10" s="2">
        <f>SUM(T10:X10)</f>
        <v>643.16000000000008</v>
      </c>
    </row>
    <row r="11" spans="1:25" x14ac:dyDescent="0.3">
      <c r="A11">
        <f>ATAN(1)*180/PI()</f>
        <v>45</v>
      </c>
      <c r="D11" t="s">
        <v>9</v>
      </c>
      <c r="E11" s="1">
        <f>H5*100/H7</f>
        <v>28.615682357660155</v>
      </c>
      <c r="F11" s="1">
        <f>180-E6</f>
        <v>140.1</v>
      </c>
      <c r="G11" s="1">
        <f>F11*PI()/180</f>
        <v>2.4452062820440554</v>
      </c>
      <c r="H11" s="1">
        <f>E11*COS(G11)</f>
        <v>-21.952954300212738</v>
      </c>
      <c r="I11" s="1">
        <f>E11*SIN(G11)</f>
        <v>18.355518905421164</v>
      </c>
      <c r="K11" t="s">
        <v>15</v>
      </c>
      <c r="L11" s="2">
        <v>0</v>
      </c>
      <c r="M11" s="2">
        <v>86.18</v>
      </c>
      <c r="N11" s="2">
        <v>46.21</v>
      </c>
      <c r="O11" s="2">
        <v>210</v>
      </c>
      <c r="P11" s="2">
        <v>210</v>
      </c>
      <c r="Q11" s="2">
        <f>Q12/Q10</f>
        <v>72.161132151783221</v>
      </c>
      <c r="S11" t="s">
        <v>15</v>
      </c>
      <c r="T11" s="2">
        <v>0</v>
      </c>
      <c r="U11" s="2">
        <v>95.41</v>
      </c>
      <c r="V11" s="2">
        <v>160.79</v>
      </c>
      <c r="W11" s="2">
        <v>210</v>
      </c>
      <c r="X11" s="2">
        <v>210</v>
      </c>
      <c r="Y11" s="2">
        <f>Y12/Y10</f>
        <v>91.66946234218544</v>
      </c>
    </row>
    <row r="12" spans="1:25" x14ac:dyDescent="0.3">
      <c r="D12" t="s">
        <v>13</v>
      </c>
      <c r="E12" s="1">
        <f>SQRT(H12^2+I12^2)</f>
        <v>100</v>
      </c>
      <c r="F12" s="1">
        <f>G12*180/PI()</f>
        <v>90</v>
      </c>
      <c r="G12" s="1">
        <f>ACOS(H12/E12)</f>
        <v>1.5707963267948966</v>
      </c>
      <c r="H12" s="1">
        <f>SUM(H10:H11)</f>
        <v>0</v>
      </c>
      <c r="I12" s="1">
        <f>SUM(I10:I11)</f>
        <v>100</v>
      </c>
      <c r="K12" t="s">
        <v>16</v>
      </c>
      <c r="L12" s="2">
        <f>L10*L11</f>
        <v>0</v>
      </c>
      <c r="M12" s="2">
        <f>M10*M11</f>
        <v>57073.566800000015</v>
      </c>
      <c r="N12" s="2">
        <f>N10*N11</f>
        <v>3540.1480999999999</v>
      </c>
      <c r="O12" s="2">
        <f>O10*O11</f>
        <v>8969.1</v>
      </c>
      <c r="P12" s="2">
        <f>P10*P11</f>
        <v>0</v>
      </c>
      <c r="Q12" s="2">
        <f>SUM(L12:P12)</f>
        <v>69582.814900000012</v>
      </c>
      <c r="S12" t="s">
        <v>16</v>
      </c>
      <c r="T12" s="2">
        <f>T10*T11</f>
        <v>0</v>
      </c>
      <c r="U12" s="2">
        <f>U10*U11</f>
        <v>27979.936600000005</v>
      </c>
      <c r="V12" s="2">
        <f>V10*V11</f>
        <v>22529.894799999998</v>
      </c>
      <c r="W12" s="2">
        <f>W10*W11</f>
        <v>8448.2999999999993</v>
      </c>
      <c r="X12" s="2">
        <f>X10*X11</f>
        <v>0</v>
      </c>
      <c r="Y12" s="2">
        <f>SUM(T12:X12)</f>
        <v>58958.131399999998</v>
      </c>
    </row>
    <row r="13" spans="1:25" x14ac:dyDescent="0.3">
      <c r="A13">
        <f>(127+255)/2</f>
        <v>191</v>
      </c>
      <c r="F13" s="3">
        <f>F12-180</f>
        <v>-90</v>
      </c>
      <c r="L13" s="2"/>
      <c r="M13" s="2"/>
      <c r="N13" s="2"/>
      <c r="O13" s="2"/>
      <c r="P13" s="2"/>
      <c r="Q13" s="2"/>
      <c r="T13" s="2"/>
      <c r="U13" s="2"/>
      <c r="V13" s="2"/>
      <c r="W13" s="2"/>
      <c r="X13" s="2"/>
      <c r="Y13" s="2"/>
    </row>
    <row r="14" spans="1:25" x14ac:dyDescent="0.3">
      <c r="A14">
        <f>64+A13</f>
        <v>255</v>
      </c>
      <c r="L14" s="2"/>
      <c r="M14" s="2"/>
      <c r="N14" s="2"/>
      <c r="O14" s="2"/>
      <c r="P14" s="2"/>
      <c r="Q14" s="2"/>
      <c r="T14" s="2"/>
      <c r="U14" s="2"/>
      <c r="V14" s="2"/>
      <c r="W14" s="2"/>
      <c r="X14" s="2"/>
      <c r="Y14" s="2"/>
    </row>
    <row r="15" spans="1:25" x14ac:dyDescent="0.3">
      <c r="A15">
        <f>-64+A13</f>
        <v>127</v>
      </c>
      <c r="K15" t="s">
        <v>14</v>
      </c>
      <c r="L15" s="2">
        <v>151.74</v>
      </c>
      <c r="M15" s="2">
        <v>168.55</v>
      </c>
      <c r="N15" s="2">
        <v>172.43</v>
      </c>
      <c r="O15" s="2">
        <v>29.45</v>
      </c>
      <c r="P15" s="2">
        <v>140.09</v>
      </c>
      <c r="Q15" s="2">
        <f>SUM(L15:P15)</f>
        <v>662.2600000000001</v>
      </c>
      <c r="S15" t="s">
        <v>14</v>
      </c>
      <c r="T15" s="2">
        <v>65.73</v>
      </c>
      <c r="U15" s="2">
        <v>98.62</v>
      </c>
      <c r="V15" s="2">
        <v>63.02</v>
      </c>
      <c r="W15" s="2">
        <v>65.89</v>
      </c>
      <c r="X15" s="2"/>
      <c r="Y15" s="2">
        <f>SUM(T15:X15)</f>
        <v>293.26000000000005</v>
      </c>
    </row>
    <row r="16" spans="1:25" x14ac:dyDescent="0.3">
      <c r="A16">
        <f>191+64</f>
        <v>255</v>
      </c>
      <c r="K16" t="s">
        <v>15</v>
      </c>
      <c r="L16" s="2">
        <v>0</v>
      </c>
      <c r="M16" s="2">
        <v>38.76</v>
      </c>
      <c r="N16" s="2">
        <v>106.71</v>
      </c>
      <c r="O16" s="2">
        <v>141.01</v>
      </c>
      <c r="P16" s="2">
        <v>210</v>
      </c>
      <c r="Q16" s="2">
        <f>Q17/Q15</f>
        <v>88.340905082595953</v>
      </c>
      <c r="S16" t="s">
        <v>15</v>
      </c>
      <c r="T16" s="2">
        <v>0</v>
      </c>
      <c r="U16" s="2">
        <v>88.4</v>
      </c>
      <c r="V16" s="2">
        <v>124.1</v>
      </c>
      <c r="W16" s="2">
        <v>210</v>
      </c>
      <c r="X16" s="2">
        <v>210</v>
      </c>
      <c r="Y16" s="2">
        <f>Y17/Y15</f>
        <v>103.57938348223419</v>
      </c>
    </row>
    <row r="17" spans="3:25" x14ac:dyDescent="0.3">
      <c r="K17" t="s">
        <v>16</v>
      </c>
      <c r="L17" s="2">
        <f>L15*L16</f>
        <v>0</v>
      </c>
      <c r="M17" s="2">
        <f>M15*M16</f>
        <v>6532.9980000000005</v>
      </c>
      <c r="N17" s="2">
        <f>N15*N16</f>
        <v>18400.005300000001</v>
      </c>
      <c r="O17" s="2">
        <f>O15*O16</f>
        <v>4152.7444999999998</v>
      </c>
      <c r="P17" s="2">
        <f>P15*P16</f>
        <v>29418.9</v>
      </c>
      <c r="Q17" s="2">
        <f>SUM(L17:P17)</f>
        <v>58504.647800000006</v>
      </c>
      <c r="S17" t="s">
        <v>16</v>
      </c>
      <c r="T17" s="2">
        <f>T15*T16</f>
        <v>0</v>
      </c>
      <c r="U17" s="2">
        <f>U15*U16</f>
        <v>8718.0080000000016</v>
      </c>
      <c r="V17" s="2">
        <f>V15*V16</f>
        <v>7820.7820000000002</v>
      </c>
      <c r="W17" s="2">
        <f>W15*W16</f>
        <v>13836.9</v>
      </c>
      <c r="X17" s="2">
        <f>X15*X16</f>
        <v>0</v>
      </c>
      <c r="Y17" s="2">
        <f>SUM(T17:X17)</f>
        <v>30375.690000000002</v>
      </c>
    </row>
    <row r="18" spans="3:25" x14ac:dyDescent="0.3">
      <c r="L18" s="2"/>
      <c r="M18" s="2"/>
      <c r="N18" s="2"/>
      <c r="O18" s="2"/>
      <c r="P18" s="2"/>
      <c r="Q18" s="2"/>
      <c r="T18" s="2"/>
      <c r="U18" s="2"/>
      <c r="V18" s="2"/>
      <c r="W18" s="2"/>
      <c r="X18" s="2"/>
      <c r="Y18" s="2"/>
    </row>
    <row r="19" spans="3:25" x14ac:dyDescent="0.3">
      <c r="L19" s="2"/>
      <c r="M19" s="2"/>
      <c r="N19" s="2"/>
      <c r="O19" s="2"/>
      <c r="P19" s="2"/>
      <c r="Q19" s="2"/>
      <c r="T19" s="2"/>
      <c r="U19" s="2"/>
      <c r="V19" s="2"/>
      <c r="W19" s="2"/>
      <c r="X19" s="2"/>
      <c r="Y19" s="2"/>
    </row>
    <row r="21" spans="3:25" x14ac:dyDescent="0.3">
      <c r="D21" t="s">
        <v>26</v>
      </c>
      <c r="E21" t="s">
        <v>11</v>
      </c>
      <c r="F21" t="s">
        <v>19</v>
      </c>
      <c r="G21" t="s">
        <v>24</v>
      </c>
      <c r="H21" t="s">
        <v>25</v>
      </c>
      <c r="I21" t="s">
        <v>27</v>
      </c>
      <c r="L21" t="s">
        <v>29</v>
      </c>
      <c r="M21" t="s">
        <v>28</v>
      </c>
      <c r="P21" t="s">
        <v>26</v>
      </c>
      <c r="Q21" t="s">
        <v>11</v>
      </c>
      <c r="R21" t="s">
        <v>19</v>
      </c>
      <c r="S21" t="s">
        <v>24</v>
      </c>
      <c r="T21" t="s">
        <v>25</v>
      </c>
      <c r="U21" t="s">
        <v>27</v>
      </c>
      <c r="X21" t="s">
        <v>29</v>
      </c>
      <c r="Y21" t="s">
        <v>28</v>
      </c>
    </row>
    <row r="22" spans="3:25" x14ac:dyDescent="0.3">
      <c r="D22" s="1">
        <v>0</v>
      </c>
      <c r="E22" s="1">
        <v>0</v>
      </c>
      <c r="F22" s="1">
        <v>6</v>
      </c>
      <c r="G22" s="1">
        <f>E22-E22</f>
        <v>0</v>
      </c>
      <c r="H22" s="1">
        <f>F22-F22</f>
        <v>0</v>
      </c>
      <c r="I22" s="1">
        <f>D22*G22</f>
        <v>0</v>
      </c>
      <c r="J22" s="1"/>
      <c r="K22" s="1"/>
      <c r="L22" s="1">
        <f>E29</f>
        <v>14.999999999999996</v>
      </c>
      <c r="M22" s="1">
        <f>SQRT($G$29^2+L22^2)</f>
        <v>52.201532544552741</v>
      </c>
      <c r="N22" s="1"/>
      <c r="P22" s="1">
        <v>0</v>
      </c>
      <c r="Q22" s="1">
        <v>0</v>
      </c>
      <c r="R22" s="1">
        <v>0</v>
      </c>
      <c r="S22" s="1">
        <f>Q22-Q22</f>
        <v>0</v>
      </c>
      <c r="T22" s="1">
        <f>R22-R22</f>
        <v>0</v>
      </c>
      <c r="U22" s="1">
        <f>P22*S22</f>
        <v>0</v>
      </c>
      <c r="V22" s="1"/>
      <c r="W22" s="1"/>
      <c r="X22" s="1">
        <f>Q30</f>
        <v>21.439393939393938</v>
      </c>
      <c r="Y22" s="1">
        <f>SQRT($S$30^2+X22^2)</f>
        <v>47.000440172770311</v>
      </c>
    </row>
    <row r="23" spans="3:25" x14ac:dyDescent="0.3">
      <c r="D23" s="1">
        <v>20</v>
      </c>
      <c r="E23" s="1">
        <v>20</v>
      </c>
      <c r="F23" s="1">
        <v>0</v>
      </c>
      <c r="G23" s="1">
        <f>E23-E22</f>
        <v>20</v>
      </c>
      <c r="H23" s="1">
        <f>F23-F22</f>
        <v>-6</v>
      </c>
      <c r="I23" s="1">
        <f>D23*SUM(G22:G23)</f>
        <v>400</v>
      </c>
      <c r="J23" s="1"/>
      <c r="K23" s="1"/>
      <c r="L23" s="1">
        <f>L22-D23</f>
        <v>-5.0000000000000036</v>
      </c>
      <c r="M23" s="1">
        <f t="shared" ref="M23:M24" si="2">SQRT($G$29^2+L23^2)</f>
        <v>50.249378105604443</v>
      </c>
      <c r="N23" s="1"/>
      <c r="P23" s="1">
        <v>15</v>
      </c>
      <c r="Q23" s="1">
        <v>12</v>
      </c>
      <c r="R23" s="1">
        <v>-6.1510600000000002</v>
      </c>
      <c r="S23" s="1">
        <f>Q23-Q22</f>
        <v>12</v>
      </c>
      <c r="T23" s="1">
        <f>R23-R22</f>
        <v>-6.1510600000000002</v>
      </c>
      <c r="U23" s="1">
        <f>P23*SUM(S22:S23)</f>
        <v>180</v>
      </c>
      <c r="V23" s="1"/>
      <c r="W23" s="1"/>
      <c r="X23" s="1">
        <f>X22-P23</f>
        <v>6.4393939393939377</v>
      </c>
      <c r="Y23" s="1">
        <f>SQRT($S$30^2+X23^2)</f>
        <v>42.318548631213034</v>
      </c>
    </row>
    <row r="24" spans="3:25" x14ac:dyDescent="0.3">
      <c r="D24" s="1">
        <v>0</v>
      </c>
      <c r="E24" s="1">
        <v>20</v>
      </c>
      <c r="F24" s="1">
        <v>0</v>
      </c>
      <c r="G24" s="1">
        <f t="shared" ref="G24:G25" si="3">E24-E23</f>
        <v>0</v>
      </c>
      <c r="H24" s="1">
        <f t="shared" ref="H24:H25" si="4">F24-F23</f>
        <v>0</v>
      </c>
      <c r="I24" s="1">
        <f>D24*SUM(G22:G24)</f>
        <v>0</v>
      </c>
      <c r="J24" s="1"/>
      <c r="K24" s="1"/>
      <c r="L24" s="1">
        <f t="shared" ref="L24" si="5">L23-D24</f>
        <v>-5.0000000000000036</v>
      </c>
      <c r="M24" s="1">
        <f t="shared" si="2"/>
        <v>50.249378105604443</v>
      </c>
      <c r="N24" s="1"/>
      <c r="P24" s="1">
        <v>15</v>
      </c>
      <c r="Q24" s="1">
        <v>37</v>
      </c>
      <c r="R24" s="1">
        <v>-10</v>
      </c>
      <c r="S24" s="1">
        <f t="shared" ref="S24:S26" si="6">Q24-Q23</f>
        <v>25</v>
      </c>
      <c r="T24" s="1">
        <f t="shared" ref="T24:T26" si="7">R24-R23</f>
        <v>-3.8489399999999998</v>
      </c>
      <c r="U24" s="1">
        <f>P24*SUM(S22:S24)</f>
        <v>555</v>
      </c>
      <c r="V24" s="1"/>
      <c r="W24" s="1"/>
      <c r="X24" s="1">
        <f t="shared" ref="X24" si="8">X23-P24</f>
        <v>-8.5606060606060623</v>
      </c>
      <c r="Y24" s="1">
        <f>SQRT($S$30^2+X24^2)</f>
        <v>42.692830078018069</v>
      </c>
    </row>
    <row r="25" spans="3:25" x14ac:dyDescent="0.3">
      <c r="D25" s="1">
        <v>0</v>
      </c>
      <c r="E25" s="1">
        <v>30</v>
      </c>
      <c r="F25" s="1">
        <v>1</v>
      </c>
      <c r="G25" s="1">
        <f t="shared" si="3"/>
        <v>10</v>
      </c>
      <c r="H25" s="1">
        <f t="shared" si="4"/>
        <v>1</v>
      </c>
      <c r="I25" s="1">
        <f>D25*SUM(G22:G25)</f>
        <v>0</v>
      </c>
      <c r="J25" s="1"/>
      <c r="K25" s="1"/>
      <c r="L25" s="1"/>
      <c r="M25" s="1"/>
      <c r="N25" s="1"/>
      <c r="P25" s="1">
        <v>10</v>
      </c>
      <c r="Q25" s="1">
        <v>49</v>
      </c>
      <c r="R25" s="1">
        <v>-7.5439230000000004</v>
      </c>
      <c r="S25" s="1">
        <f t="shared" si="6"/>
        <v>12</v>
      </c>
      <c r="T25" s="1">
        <f t="shared" si="7"/>
        <v>2.4560769999999996</v>
      </c>
      <c r="U25" s="1">
        <f>P25*SUM(S22:S25)</f>
        <v>490</v>
      </c>
      <c r="V25" s="1"/>
      <c r="W25" s="1"/>
      <c r="X25" s="1">
        <f t="shared" ref="X25" si="9">X24-P25</f>
        <v>-18.560606060606062</v>
      </c>
      <c r="Y25" s="1">
        <f>SQRT($S$30^2+X25^2)</f>
        <v>45.759041306419938</v>
      </c>
    </row>
    <row r="26" spans="3:25" x14ac:dyDescent="0.3">
      <c r="C26" t="s">
        <v>18</v>
      </c>
      <c r="D26" s="1">
        <f>SUM(D23:D24)</f>
        <v>20</v>
      </c>
      <c r="E26" s="1"/>
      <c r="F26" s="1"/>
      <c r="G26" s="1">
        <f>SUM(G22:G25)</f>
        <v>30</v>
      </c>
      <c r="H26" s="1">
        <f>SUM(H22:H25)</f>
        <v>-5</v>
      </c>
      <c r="I26" s="1">
        <f>SUM(I22:I25)</f>
        <v>400</v>
      </c>
      <c r="J26" s="1"/>
      <c r="K26" s="1"/>
      <c r="L26" s="1"/>
      <c r="M26" s="1"/>
      <c r="N26" s="1"/>
      <c r="P26" s="1">
        <v>0</v>
      </c>
      <c r="Q26" s="1">
        <v>66</v>
      </c>
      <c r="R26" s="1">
        <v>0</v>
      </c>
      <c r="S26" s="1">
        <f t="shared" si="6"/>
        <v>17</v>
      </c>
      <c r="T26" s="1">
        <f t="shared" si="7"/>
        <v>7.5439230000000004</v>
      </c>
      <c r="U26" s="1">
        <f>P26*SUM(S22:S26)</f>
        <v>0</v>
      </c>
      <c r="V26" s="1"/>
      <c r="W26" s="1"/>
      <c r="X26" s="1"/>
      <c r="Y26" s="1"/>
    </row>
    <row r="27" spans="3:25" x14ac:dyDescent="0.3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t="s">
        <v>18</v>
      </c>
      <c r="P27" s="1">
        <f>SUM(P23:P25)</f>
        <v>40</v>
      </c>
      <c r="Q27" s="1"/>
      <c r="R27" s="1"/>
      <c r="S27" s="1">
        <f>SUM(S22:S26)</f>
        <v>66</v>
      </c>
      <c r="T27" s="1">
        <f>SUM(T22:T26)</f>
        <v>0</v>
      </c>
      <c r="U27" s="1">
        <f>SUM(U22:U26)</f>
        <v>1225</v>
      </c>
      <c r="V27" s="1"/>
      <c r="W27" s="1"/>
      <c r="X27" s="1"/>
      <c r="Y27" s="1"/>
    </row>
    <row r="28" spans="3:25" x14ac:dyDescent="0.3">
      <c r="E28" s="1" t="s">
        <v>20</v>
      </c>
      <c r="F28" s="1" t="s">
        <v>21</v>
      </c>
      <c r="G28" s="1" t="s">
        <v>22</v>
      </c>
      <c r="H28" s="1" t="s">
        <v>23</v>
      </c>
      <c r="I28" s="1"/>
      <c r="J28" s="1"/>
      <c r="K28" s="1"/>
      <c r="L28" s="1"/>
      <c r="M28" s="1"/>
      <c r="N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3:25" x14ac:dyDescent="0.3">
      <c r="D29" s="1"/>
      <c r="E29" s="1">
        <f>(D26-I26/G26)/(1-H26/G26*G23/H23)</f>
        <v>14.999999999999996</v>
      </c>
      <c r="F29" s="1">
        <f>D26-E29</f>
        <v>5.0000000000000036</v>
      </c>
      <c r="G29" s="1">
        <f>G23/H23*E29</f>
        <v>-49.999999999999993</v>
      </c>
      <c r="H29" s="1">
        <f>-G29</f>
        <v>49.999999999999993</v>
      </c>
      <c r="I29" s="1"/>
      <c r="J29" s="1"/>
      <c r="K29" s="1"/>
      <c r="L29" s="1"/>
      <c r="M29" s="1"/>
      <c r="N29" s="1"/>
      <c r="Q29" s="1" t="s">
        <v>20</v>
      </c>
      <c r="R29" s="1" t="s">
        <v>21</v>
      </c>
      <c r="S29" s="1" t="s">
        <v>22</v>
      </c>
      <c r="T29" s="1" t="s">
        <v>23</v>
      </c>
      <c r="U29" s="1"/>
      <c r="V29" s="1"/>
      <c r="W29" s="1"/>
      <c r="X29" s="1"/>
      <c r="Y29" s="1"/>
    </row>
    <row r="30" spans="3:25" x14ac:dyDescent="0.3">
      <c r="D30" s="1"/>
      <c r="E30" s="1">
        <f>D26/(1-H25/G25*G23/H23)</f>
        <v>15</v>
      </c>
      <c r="F30" s="1">
        <f>D26-E30</f>
        <v>5</v>
      </c>
      <c r="G30" s="1">
        <f>E30*G23/H23</f>
        <v>-50</v>
      </c>
      <c r="H30" s="1">
        <f>-G30</f>
        <v>50</v>
      </c>
      <c r="I30" s="1"/>
      <c r="J30" s="1"/>
      <c r="K30" s="1"/>
      <c r="L30" s="1"/>
      <c r="M30" s="1"/>
      <c r="N30" s="1"/>
      <c r="P30" s="1"/>
      <c r="Q30" s="1">
        <f>(P27-U27/S27)/(1-T27/S27*S23/T23)</f>
        <v>21.439393939393938</v>
      </c>
      <c r="R30" s="1">
        <f>P27-Q30</f>
        <v>18.560606060606062</v>
      </c>
      <c r="S30" s="1">
        <f>S23/T23*Q30</f>
        <v>-41.825754792300394</v>
      </c>
      <c r="T30" s="1">
        <f>-S30</f>
        <v>41.825754792300394</v>
      </c>
      <c r="U30" s="1"/>
      <c r="V30" s="1"/>
      <c r="W30" s="1"/>
      <c r="X30" s="1"/>
      <c r="Y30" s="1"/>
    </row>
    <row r="31" spans="3:25" x14ac:dyDescent="0.3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Q31" s="1">
        <f>P27/(1-T26/S26*S23/T23)</f>
        <v>21.439394868233901</v>
      </c>
      <c r="R31" s="1">
        <f>P27-Q31</f>
        <v>18.560605131766099</v>
      </c>
      <c r="S31" s="1">
        <f>Q31*S23/T23</f>
        <v>-41.825756604358723</v>
      </c>
      <c r="T31" s="1">
        <f>-S31</f>
        <v>41.825756604358723</v>
      </c>
      <c r="U31" s="1"/>
      <c r="V31" s="1"/>
      <c r="W31" s="1"/>
      <c r="X31" s="1"/>
      <c r="Y31" s="1"/>
    </row>
    <row r="32" spans="3:25" x14ac:dyDescent="0.3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4:25" x14ac:dyDescent="0.3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4:25" x14ac:dyDescent="0.3">
      <c r="D34" s="1"/>
      <c r="E34" s="1">
        <f>-H29*H26+F29*G26-D23*G23-D24*SUM(G23:G24)</f>
        <v>1.1368683772161603E-13</v>
      </c>
      <c r="F34" s="1"/>
      <c r="G34" s="1"/>
      <c r="H34" s="1"/>
      <c r="I34" s="1"/>
      <c r="J34" s="1"/>
      <c r="K34" s="1"/>
      <c r="L34" s="1"/>
      <c r="M34" s="1"/>
      <c r="N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4:25" x14ac:dyDescent="0.3">
      <c r="D35" s="1"/>
      <c r="E35" s="1">
        <f>-H30*H26+F30*G26-I26</f>
        <v>0</v>
      </c>
      <c r="F35" s="1"/>
      <c r="G35" s="1"/>
      <c r="H35" s="1"/>
      <c r="I35" s="1"/>
      <c r="J35" s="1"/>
      <c r="K35" s="1"/>
      <c r="L35" s="1"/>
      <c r="M35" s="1"/>
      <c r="N35" s="1"/>
      <c r="P35" s="1"/>
      <c r="Q35" s="1">
        <f>-T30*T27+R30*S27-P23*Q23-P24*Q24-P25*Q25</f>
        <v>0</v>
      </c>
      <c r="R35" s="1">
        <f>-T30*T27+R30*S27-U27</f>
        <v>0</v>
      </c>
      <c r="S35" s="1"/>
      <c r="T35" s="1"/>
      <c r="U35" s="1"/>
      <c r="V35" s="1"/>
      <c r="W35" s="1"/>
      <c r="X35" s="1"/>
      <c r="Y35" s="1"/>
    </row>
    <row r="36" spans="4:25" x14ac:dyDescent="0.3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P36" s="1"/>
      <c r="Q36" s="1">
        <f>-T31*T27+R31*S27-P23*Q23-P24*Q24-P25*Q25</f>
        <v>-6.130343740551325E-5</v>
      </c>
      <c r="R36" s="1">
        <f>-T31*T27+R31*S27-U27</f>
        <v>-6.130343740551325E-5</v>
      </c>
      <c r="S36" s="1"/>
      <c r="T36" s="1"/>
      <c r="U36" s="1"/>
      <c r="V36" s="1"/>
      <c r="W36" s="1"/>
      <c r="X36" s="1"/>
      <c r="Y36" s="1"/>
    </row>
    <row r="37" spans="4:2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4:25" x14ac:dyDescent="0.3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4:25" x14ac:dyDescent="0.3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4:25" x14ac:dyDescent="0.3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4:25" x14ac:dyDescent="0.3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4:25" x14ac:dyDescent="0.3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4" spans="4:25" x14ac:dyDescent="0.3">
      <c r="D44" t="s">
        <v>26</v>
      </c>
      <c r="E44" t="s">
        <v>11</v>
      </c>
      <c r="F44" t="s">
        <v>19</v>
      </c>
      <c r="G44" t="s">
        <v>24</v>
      </c>
      <c r="H44" t="s">
        <v>25</v>
      </c>
      <c r="I44" t="s">
        <v>27</v>
      </c>
      <c r="L44" t="s">
        <v>29</v>
      </c>
      <c r="M44" t="s">
        <v>28</v>
      </c>
      <c r="P44" t="s">
        <v>26</v>
      </c>
      <c r="Q44" t="s">
        <v>11</v>
      </c>
      <c r="R44" t="s">
        <v>19</v>
      </c>
      <c r="S44" t="s">
        <v>24</v>
      </c>
      <c r="T44" t="s">
        <v>25</v>
      </c>
      <c r="U44" t="s">
        <v>27</v>
      </c>
      <c r="X44" t="s">
        <v>29</v>
      </c>
      <c r="Y44" t="s">
        <v>28</v>
      </c>
    </row>
    <row r="45" spans="4:25" x14ac:dyDescent="0.3">
      <c r="D45" s="1">
        <v>0</v>
      </c>
      <c r="E45" s="1">
        <v>0</v>
      </c>
      <c r="F45" s="1">
        <v>1</v>
      </c>
      <c r="G45" s="1">
        <f>E45-E45</f>
        <v>0</v>
      </c>
      <c r="H45" s="1">
        <f>F45-F45</f>
        <v>0</v>
      </c>
      <c r="I45" s="1">
        <f>D45*G45</f>
        <v>0</v>
      </c>
      <c r="L45" s="1">
        <f>E52</f>
        <v>5</v>
      </c>
      <c r="M45" s="1">
        <f>SQRT($G$52^2+L45^2)</f>
        <v>15.811388300841896</v>
      </c>
      <c r="N45" s="1"/>
      <c r="P45" s="1">
        <v>0</v>
      </c>
      <c r="Q45" s="1">
        <v>-327.5</v>
      </c>
      <c r="R45" s="1">
        <v>447.5</v>
      </c>
      <c r="S45" s="1">
        <f>Q45-Q45</f>
        <v>0</v>
      </c>
      <c r="T45" s="1">
        <f>R45-R45</f>
        <v>0</v>
      </c>
      <c r="U45" s="1">
        <f>P45*S45</f>
        <v>0</v>
      </c>
      <c r="X45" s="1">
        <f>Q57</f>
        <v>521.45810021623799</v>
      </c>
      <c r="Y45" s="1">
        <f>SQRT($S$57^2+X45^2)</f>
        <v>600.54759221068468</v>
      </c>
    </row>
    <row r="46" spans="4:25" x14ac:dyDescent="0.3">
      <c r="D46" s="1">
        <v>6</v>
      </c>
      <c r="E46" s="1">
        <v>3</v>
      </c>
      <c r="F46" s="1">
        <v>0</v>
      </c>
      <c r="G46" s="1">
        <f>E46-E45</f>
        <v>3</v>
      </c>
      <c r="H46" s="1">
        <f>F46-F45</f>
        <v>-1</v>
      </c>
      <c r="I46" s="1">
        <f>D46*SUM(G45:G46)</f>
        <v>18</v>
      </c>
      <c r="L46" s="1">
        <f>L45-D46</f>
        <v>-1</v>
      </c>
      <c r="M46" s="1">
        <f>SQRT($G$52^2+L46^2)</f>
        <v>15.033296378372908</v>
      </c>
      <c r="N46" s="1"/>
      <c r="P46" s="1">
        <v>193.46</v>
      </c>
      <c r="Q46" s="1">
        <v>-232.79</v>
      </c>
      <c r="R46" s="1">
        <v>281.70999999999998</v>
      </c>
      <c r="S46" s="1">
        <f>Q46-Q45</f>
        <v>94.710000000000008</v>
      </c>
      <c r="T46" s="1">
        <f>R46-R45</f>
        <v>-165.79000000000002</v>
      </c>
      <c r="U46" s="1">
        <f>P46*SUM(S45:S46)</f>
        <v>18322.596600000001</v>
      </c>
      <c r="X46" s="1">
        <f>X45-P46</f>
        <v>327.99810021623796</v>
      </c>
      <c r="Y46" s="1">
        <f>SQRT($S$57^2+X46^2)</f>
        <v>443.08194950187709</v>
      </c>
    </row>
    <row r="47" spans="4:25" x14ac:dyDescent="0.3">
      <c r="D47" s="1">
        <v>3</v>
      </c>
      <c r="E47" s="1">
        <v>6</v>
      </c>
      <c r="F47" s="1">
        <v>0.2</v>
      </c>
      <c r="G47" s="1">
        <f t="shared" ref="G47:G48" si="10">E47-E46</f>
        <v>3</v>
      </c>
      <c r="H47" s="1">
        <f t="shared" ref="H47:H48" si="11">F47-F46</f>
        <v>0.2</v>
      </c>
      <c r="I47" s="1">
        <f>D47*SUM(G45:G47)</f>
        <v>18</v>
      </c>
      <c r="L47" s="1">
        <f>L46-D47</f>
        <v>-4</v>
      </c>
      <c r="M47" s="1">
        <f>SQRT($G$52^2+L47^2)</f>
        <v>15.524174696260024</v>
      </c>
      <c r="P47" s="1">
        <v>130.02000000000001</v>
      </c>
      <c r="Q47" s="1">
        <v>-156.86000000000001</v>
      </c>
      <c r="R47" s="1">
        <v>198.1</v>
      </c>
      <c r="S47" s="1">
        <f t="shared" ref="S47:S49" si="12">Q47-Q46</f>
        <v>75.929999999999978</v>
      </c>
      <c r="T47" s="1">
        <f t="shared" ref="T47:T49" si="13">R47-R46</f>
        <v>-83.609999999999985</v>
      </c>
      <c r="U47" s="1">
        <f>P47*SUM(S45:S47)</f>
        <v>22186.612799999999</v>
      </c>
      <c r="X47" s="1">
        <f t="shared" ref="X47:X48" si="14">X46-P47</f>
        <v>197.97810021623795</v>
      </c>
      <c r="Y47" s="1">
        <f>SQRT($S$57^2+X47^2)</f>
        <v>357.67889005944068</v>
      </c>
    </row>
    <row r="48" spans="4:25" x14ac:dyDescent="0.3">
      <c r="D48" s="1">
        <v>0</v>
      </c>
      <c r="E48" s="1">
        <v>9</v>
      </c>
      <c r="F48" s="1">
        <v>1</v>
      </c>
      <c r="G48" s="1">
        <f t="shared" si="10"/>
        <v>3</v>
      </c>
      <c r="H48" s="1">
        <f t="shared" si="11"/>
        <v>0.8</v>
      </c>
      <c r="I48" s="1">
        <f>D48*SUM(G46:G48)</f>
        <v>0</v>
      </c>
      <c r="P48" s="1">
        <v>138.63999999999999</v>
      </c>
      <c r="Q48" s="1">
        <v>-75.52</v>
      </c>
      <c r="R48" s="1">
        <v>144.05000000000001</v>
      </c>
      <c r="S48" s="1">
        <f t="shared" si="12"/>
        <v>81.340000000000018</v>
      </c>
      <c r="T48" s="1">
        <f t="shared" si="13"/>
        <v>-54.049999999999983</v>
      </c>
      <c r="U48" s="1">
        <f>P48*SUM(S45:S48)</f>
        <v>34934.5072</v>
      </c>
      <c r="X48" s="1">
        <f t="shared" si="14"/>
        <v>59.338100216237962</v>
      </c>
      <c r="Y48" s="1">
        <f>SQRT($S$57^2+X48^2)</f>
        <v>303.7430992898357</v>
      </c>
    </row>
    <row r="49" spans="3:25" x14ac:dyDescent="0.3">
      <c r="C49" t="s">
        <v>18</v>
      </c>
      <c r="D49" s="1">
        <f>SUM(D46:D47)</f>
        <v>9</v>
      </c>
      <c r="E49" s="1"/>
      <c r="F49" s="1"/>
      <c r="G49" s="1">
        <f>SUM(G45:G48)</f>
        <v>9</v>
      </c>
      <c r="H49" s="1">
        <f>SUM(H45:H48)</f>
        <v>0</v>
      </c>
      <c r="I49" s="1">
        <f>SUM(I45:I48)</f>
        <v>36</v>
      </c>
      <c r="P49" s="1">
        <v>118.34</v>
      </c>
      <c r="Q49" s="1">
        <v>-0.99</v>
      </c>
      <c r="R49" s="1">
        <v>129.19999999999999</v>
      </c>
      <c r="S49" s="1">
        <f t="shared" si="12"/>
        <v>74.53</v>
      </c>
      <c r="T49" s="1">
        <f t="shared" si="13"/>
        <v>-14.850000000000023</v>
      </c>
      <c r="U49" s="1">
        <f>P49*SUM(S45:S49)</f>
        <v>38639.193399999996</v>
      </c>
      <c r="X49" s="1">
        <f t="shared" ref="X49:X52" si="15">X48-P49</f>
        <v>-59.001899783762042</v>
      </c>
      <c r="Y49" s="1">
        <f t="shared" ref="Y49:Y52" si="16">SQRT($S$57^2+X49^2)</f>
        <v>303.67759944884938</v>
      </c>
    </row>
    <row r="50" spans="3:25" x14ac:dyDescent="0.3">
      <c r="D50" s="1"/>
      <c r="E50" s="1"/>
      <c r="F50" s="1"/>
      <c r="G50" s="1"/>
      <c r="H50" s="1"/>
      <c r="I50" s="1"/>
      <c r="P50" s="1">
        <v>28.77</v>
      </c>
      <c r="Q50" s="1">
        <v>87.25</v>
      </c>
      <c r="R50" s="1">
        <v>146.68</v>
      </c>
      <c r="S50" s="1">
        <f t="shared" ref="S50:S53" si="17">Q50-Q49</f>
        <v>88.24</v>
      </c>
      <c r="T50" s="1">
        <f t="shared" ref="T50:T53" si="18">R50-R49</f>
        <v>17.480000000000018</v>
      </c>
      <c r="U50" s="1">
        <f>P50*SUM(S45:S50)</f>
        <v>11932.3575</v>
      </c>
      <c r="X50" s="1">
        <f t="shared" si="15"/>
        <v>-87.771899783762038</v>
      </c>
      <c r="Y50" s="1">
        <f t="shared" si="16"/>
        <v>310.55235729353831</v>
      </c>
    </row>
    <row r="51" spans="3:25" x14ac:dyDescent="0.3">
      <c r="D51" s="1"/>
      <c r="E51" s="1" t="s">
        <v>20</v>
      </c>
      <c r="F51" s="1" t="s">
        <v>21</v>
      </c>
      <c r="G51" s="1" t="s">
        <v>22</v>
      </c>
      <c r="H51" s="1" t="s">
        <v>23</v>
      </c>
      <c r="I51" s="1"/>
      <c r="P51" s="1">
        <v>121.84</v>
      </c>
      <c r="Q51" s="1">
        <v>182.23</v>
      </c>
      <c r="R51" s="1">
        <v>174.67</v>
      </c>
      <c r="S51" s="1">
        <f t="shared" si="17"/>
        <v>94.97999999999999</v>
      </c>
      <c r="T51" s="1">
        <f t="shared" si="18"/>
        <v>27.989999999999981</v>
      </c>
      <c r="U51" s="1">
        <f>P51*SUM(S45:S51)</f>
        <v>62105.503200000006</v>
      </c>
      <c r="X51" s="1">
        <f t="shared" si="15"/>
        <v>-209.61189978376206</v>
      </c>
      <c r="Y51" s="1">
        <f t="shared" si="16"/>
        <v>364.24718085371728</v>
      </c>
    </row>
    <row r="52" spans="3:25" x14ac:dyDescent="0.3">
      <c r="D52" s="1"/>
      <c r="E52" s="1">
        <f>(D49-I49/G49)/(1-H49/G49*G46/H46)</f>
        <v>5</v>
      </c>
      <c r="F52" s="1">
        <f>D49-E52</f>
        <v>4</v>
      </c>
      <c r="G52" s="1">
        <f>G46/H46*E52</f>
        <v>-15</v>
      </c>
      <c r="H52" s="1">
        <f>-G52</f>
        <v>15</v>
      </c>
      <c r="I52" s="1"/>
      <c r="P52" s="1">
        <v>49</v>
      </c>
      <c r="Q52" s="1">
        <v>233.11</v>
      </c>
      <c r="R52" s="1">
        <v>210.47</v>
      </c>
      <c r="S52" s="1">
        <f t="shared" si="17"/>
        <v>50.880000000000024</v>
      </c>
      <c r="T52" s="1">
        <f t="shared" si="18"/>
        <v>35.800000000000011</v>
      </c>
      <c r="U52" s="1">
        <f>P52*SUM(S45:S52)</f>
        <v>27469.89</v>
      </c>
      <c r="X52" s="1">
        <f t="shared" si="15"/>
        <v>-258.61189978376206</v>
      </c>
      <c r="Y52" s="1">
        <f t="shared" si="16"/>
        <v>394.48570942264723</v>
      </c>
    </row>
    <row r="53" spans="3:25" x14ac:dyDescent="0.3">
      <c r="D53" s="1"/>
      <c r="E53" s="1">
        <f>D49/(1-H48/G48*G46/H46)</f>
        <v>5</v>
      </c>
      <c r="F53" s="1">
        <f>D49-E53</f>
        <v>4</v>
      </c>
      <c r="G53" s="1">
        <f>E53*G46/H46</f>
        <v>-15</v>
      </c>
      <c r="H53" s="1">
        <f>-G53</f>
        <v>15</v>
      </c>
      <c r="I53" s="1"/>
      <c r="P53" s="1">
        <v>0</v>
      </c>
      <c r="Q53" s="1">
        <v>327.5</v>
      </c>
      <c r="R53" s="1">
        <v>292.41000000000003</v>
      </c>
      <c r="S53" s="1">
        <f t="shared" si="17"/>
        <v>94.389999999999986</v>
      </c>
      <c r="T53" s="1">
        <f t="shared" si="18"/>
        <v>81.940000000000026</v>
      </c>
      <c r="U53" s="1">
        <f>P53*SUM(S45:S53)</f>
        <v>0</v>
      </c>
      <c r="X53" s="1"/>
      <c r="Y53" s="1"/>
    </row>
    <row r="54" spans="3:25" x14ac:dyDescent="0.3">
      <c r="E54" s="1"/>
      <c r="F54" s="1"/>
      <c r="G54" s="1"/>
      <c r="H54" s="1"/>
      <c r="I54" s="1"/>
      <c r="O54" t="s">
        <v>18</v>
      </c>
      <c r="P54" s="1">
        <f>SUM(P45:P53)</f>
        <v>780.07</v>
      </c>
      <c r="Q54" s="1"/>
      <c r="R54" s="1"/>
      <c r="S54" s="1">
        <f>SUM(S45:S53)</f>
        <v>655</v>
      </c>
      <c r="T54" s="1">
        <f>SUM(T45:T53)</f>
        <v>-155.09</v>
      </c>
      <c r="U54" s="1">
        <f>SUM(U45:U53)</f>
        <v>215590.66070000001</v>
      </c>
    </row>
    <row r="55" spans="3:25" x14ac:dyDescent="0.3">
      <c r="D55" s="1"/>
      <c r="E55" s="1"/>
      <c r="F55" s="1"/>
      <c r="G55" s="1"/>
      <c r="H55" s="1"/>
      <c r="I55" s="1"/>
      <c r="P55" s="1"/>
      <c r="Q55" s="1"/>
      <c r="R55" s="1"/>
      <c r="S55" s="1"/>
      <c r="T55" s="1"/>
      <c r="U55" s="1"/>
    </row>
    <row r="56" spans="3:25" x14ac:dyDescent="0.3">
      <c r="D56" s="1"/>
      <c r="E56" s="1"/>
      <c r="F56" s="1"/>
      <c r="G56" s="1"/>
      <c r="H56" s="1"/>
      <c r="I56" s="1"/>
      <c r="Q56" s="1" t="s">
        <v>20</v>
      </c>
      <c r="R56" s="1" t="s">
        <v>21</v>
      </c>
      <c r="S56" s="1" t="s">
        <v>22</v>
      </c>
      <c r="T56" s="1" t="s">
        <v>23</v>
      </c>
      <c r="U56" s="1"/>
    </row>
    <row r="57" spans="3:25" x14ac:dyDescent="0.3">
      <c r="D57" s="1"/>
      <c r="E57" s="1">
        <f>-H52*H49+F52*G49-D46*G46-D47*SUM(G46:G47)</f>
        <v>0</v>
      </c>
      <c r="F57" s="1"/>
      <c r="G57" s="1"/>
      <c r="H57" s="1"/>
      <c r="I57" s="1"/>
      <c r="P57" s="1"/>
      <c r="Q57" s="1">
        <f>(P54-U54/S54)/(1-T54/S54*S46/T46)</f>
        <v>521.45810021623799</v>
      </c>
      <c r="R57" s="1">
        <f>P54-Q57</f>
        <v>258.61189978376206</v>
      </c>
      <c r="S57" s="1">
        <f>S46/T46*Q57</f>
        <v>-297.8906850321485</v>
      </c>
      <c r="T57" s="1">
        <f>-S57</f>
        <v>297.8906850321485</v>
      </c>
      <c r="U57" s="1"/>
    </row>
    <row r="58" spans="3:25" x14ac:dyDescent="0.3">
      <c r="D58" s="1"/>
      <c r="E58" s="1">
        <f>-H53*H49+F53*G49-I49</f>
        <v>0</v>
      </c>
      <c r="F58" s="1"/>
      <c r="G58" s="1"/>
      <c r="H58" s="1"/>
      <c r="I58" s="1"/>
      <c r="P58" s="1"/>
      <c r="Q58" s="1">
        <f>P54/(1-T53/S53*S46/T46)</f>
        <v>521.46670144749839</v>
      </c>
      <c r="R58" s="1">
        <f>P54-Q58</f>
        <v>258.60329855250166</v>
      </c>
      <c r="S58" s="1">
        <f>Q58*S46/T46</f>
        <v>-297.89559861326114</v>
      </c>
      <c r="T58" s="1">
        <f>-S58</f>
        <v>297.89559861326114</v>
      </c>
      <c r="U58" s="1"/>
    </row>
    <row r="59" spans="3:25" x14ac:dyDescent="0.3">
      <c r="D59" s="1"/>
      <c r="I59" s="1"/>
      <c r="P59" s="1"/>
      <c r="Q59" s="1"/>
      <c r="R59" s="1"/>
      <c r="S59" s="1"/>
      <c r="T59" s="1"/>
      <c r="U59" s="1"/>
    </row>
    <row r="60" spans="3:25" x14ac:dyDescent="0.3">
      <c r="D60" s="1"/>
      <c r="I60" s="1"/>
      <c r="P60" s="1"/>
      <c r="Q60" s="1"/>
      <c r="R60" s="1"/>
      <c r="S60" s="1"/>
      <c r="T60" s="1"/>
      <c r="U60" s="1"/>
    </row>
    <row r="61" spans="3:25" x14ac:dyDescent="0.3">
      <c r="D61" s="1"/>
      <c r="I61" s="1"/>
      <c r="P61" s="1"/>
      <c r="Q61" s="1">
        <f>-T57*T54+R57*S54-U54</f>
        <v>0</v>
      </c>
      <c r="R61" s="1">
        <f>-T57*T54+R57*S54-U54</f>
        <v>0</v>
      </c>
      <c r="S61" s="1"/>
      <c r="T61" s="1"/>
      <c r="U61" s="1"/>
    </row>
    <row r="62" spans="3:25" x14ac:dyDescent="0.3">
      <c r="P62" s="1"/>
      <c r="Q62" s="1">
        <f>-T58*T54+R58*S54-U54</f>
        <v>-4.8717591807653662</v>
      </c>
      <c r="R62" s="1">
        <f>-T58*T54+R58*S54-U54</f>
        <v>-4.8717591807653662</v>
      </c>
      <c r="S62" s="1"/>
      <c r="T62" s="1"/>
      <c r="U6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85" zoomScaleNormal="85" workbookViewId="0">
      <selection activeCell="A32" sqref="A32:B34"/>
    </sheetView>
  </sheetViews>
  <sheetFormatPr defaultRowHeight="16.5" x14ac:dyDescent="0.3"/>
  <cols>
    <col min="2" max="8" width="12.75" style="4" customWidth="1"/>
    <col min="9" max="17" width="12.75" customWidth="1"/>
  </cols>
  <sheetData>
    <row r="1" spans="1:17" x14ac:dyDescent="0.3">
      <c r="A1" s="8" t="s">
        <v>30</v>
      </c>
      <c r="B1" s="8"/>
      <c r="C1" s="8"/>
      <c r="D1" s="8"/>
      <c r="E1" s="8"/>
      <c r="F1" s="8"/>
      <c r="G1" s="8"/>
      <c r="H1" s="8"/>
      <c r="J1" s="8" t="s">
        <v>31</v>
      </c>
      <c r="K1" s="8"/>
      <c r="L1" s="8"/>
      <c r="M1" s="8"/>
      <c r="N1" s="8"/>
      <c r="O1" s="8"/>
      <c r="P1" s="8"/>
      <c r="Q1" s="8"/>
    </row>
    <row r="2" spans="1:17" x14ac:dyDescent="0.3">
      <c r="A2" t="s">
        <v>11</v>
      </c>
      <c r="B2" s="4">
        <v>0</v>
      </c>
      <c r="C2" s="4">
        <v>25</v>
      </c>
      <c r="D2" s="4">
        <v>50</v>
      </c>
      <c r="E2" s="4">
        <v>75</v>
      </c>
      <c r="F2" s="4">
        <v>100</v>
      </c>
      <c r="G2" s="4">
        <v>125</v>
      </c>
      <c r="H2" s="4">
        <v>150</v>
      </c>
      <c r="I2" s="5"/>
      <c r="J2" t="s">
        <v>11</v>
      </c>
      <c r="K2" s="4">
        <v>0</v>
      </c>
      <c r="L2" s="4">
        <v>50</v>
      </c>
      <c r="M2" s="4">
        <v>100</v>
      </c>
      <c r="N2" s="4">
        <v>150</v>
      </c>
      <c r="O2" s="4">
        <v>200</v>
      </c>
      <c r="P2" s="4">
        <v>250</v>
      </c>
      <c r="Q2" s="4">
        <v>300</v>
      </c>
    </row>
    <row r="3" spans="1:17" x14ac:dyDescent="0.3">
      <c r="A3" t="s">
        <v>12</v>
      </c>
      <c r="B3" s="4">
        <f>B18</f>
        <v>0</v>
      </c>
      <c r="C3" s="4">
        <f t="shared" ref="C3:H3" si="0">C18</f>
        <v>2.5996112730806611</v>
      </c>
      <c r="D3" s="4">
        <f t="shared" si="0"/>
        <v>5.0534499514091351</v>
      </c>
      <c r="E3" s="4">
        <f t="shared" si="0"/>
        <v>7.2157434402332363</v>
      </c>
      <c r="F3" s="4">
        <f t="shared" si="0"/>
        <v>8.9407191448007772</v>
      </c>
      <c r="G3" s="4">
        <f t="shared" si="0"/>
        <v>10.082604470359573</v>
      </c>
      <c r="H3" s="4">
        <f t="shared" si="0"/>
        <v>10.495626822157433</v>
      </c>
      <c r="I3" s="5"/>
      <c r="J3" t="s">
        <v>12</v>
      </c>
      <c r="K3" s="4">
        <f>K18</f>
        <v>0</v>
      </c>
      <c r="L3" s="4">
        <f t="shared" ref="L3:Q3" si="1">L18</f>
        <v>2.2135416666666665</v>
      </c>
      <c r="M3" s="4">
        <f t="shared" si="1"/>
        <v>8.3333333333333339</v>
      </c>
      <c r="N3" s="4">
        <f t="shared" si="1"/>
        <v>17.578125</v>
      </c>
      <c r="O3" s="4">
        <f t="shared" si="1"/>
        <v>29.166666666666664</v>
      </c>
      <c r="P3" s="4">
        <f t="shared" si="1"/>
        <v>42.317708333333329</v>
      </c>
      <c r="Q3" s="4">
        <f t="shared" si="1"/>
        <v>56.25</v>
      </c>
    </row>
    <row r="4" spans="1:17" x14ac:dyDescent="0.3">
      <c r="I4" s="5"/>
      <c r="K4" s="4"/>
      <c r="L4" s="4"/>
      <c r="M4" s="4"/>
      <c r="N4" s="4"/>
      <c r="O4" s="4"/>
      <c r="P4" s="4"/>
      <c r="Q4" s="4"/>
    </row>
    <row r="5" spans="1:17" x14ac:dyDescent="0.3">
      <c r="A5" t="s">
        <v>32</v>
      </c>
      <c r="B5" s="4">
        <f>5000</f>
        <v>5000</v>
      </c>
      <c r="C5" s="4">
        <f>B5</f>
        <v>5000</v>
      </c>
      <c r="D5" s="4">
        <f t="shared" ref="D5:H5" si="2">C5</f>
        <v>5000</v>
      </c>
      <c r="E5" s="4">
        <f t="shared" si="2"/>
        <v>5000</v>
      </c>
      <c r="F5" s="4">
        <f t="shared" si="2"/>
        <v>5000</v>
      </c>
      <c r="G5" s="4">
        <f t="shared" si="2"/>
        <v>5000</v>
      </c>
      <c r="H5" s="4">
        <f t="shared" si="2"/>
        <v>5000</v>
      </c>
      <c r="I5" s="5"/>
      <c r="J5" t="s">
        <v>32</v>
      </c>
      <c r="K5" s="4">
        <f>5000</f>
        <v>5000</v>
      </c>
      <c r="L5" s="4">
        <f>K5</f>
        <v>5000</v>
      </c>
      <c r="M5" s="4">
        <f t="shared" ref="M5:Q7" si="3">L5</f>
        <v>5000</v>
      </c>
      <c r="N5" s="4">
        <f t="shared" si="3"/>
        <v>5000</v>
      </c>
      <c r="O5" s="4">
        <f t="shared" si="3"/>
        <v>5000</v>
      </c>
      <c r="P5" s="4">
        <f t="shared" si="3"/>
        <v>5000</v>
      </c>
      <c r="Q5" s="4">
        <f t="shared" si="3"/>
        <v>5000</v>
      </c>
    </row>
    <row r="6" spans="1:17" x14ac:dyDescent="0.3">
      <c r="A6" t="s">
        <v>33</v>
      </c>
      <c r="B6" s="4">
        <v>30</v>
      </c>
      <c r="C6" s="4">
        <f t="shared" ref="C6:H10" si="4">B6</f>
        <v>30</v>
      </c>
      <c r="D6" s="4">
        <f t="shared" si="4"/>
        <v>30</v>
      </c>
      <c r="E6" s="4">
        <f t="shared" si="4"/>
        <v>30</v>
      </c>
      <c r="F6" s="4">
        <f t="shared" si="4"/>
        <v>30</v>
      </c>
      <c r="G6" s="4">
        <f t="shared" si="4"/>
        <v>30</v>
      </c>
      <c r="H6" s="4">
        <f t="shared" si="4"/>
        <v>30</v>
      </c>
      <c r="I6" s="5"/>
      <c r="J6" t="s">
        <v>33</v>
      </c>
      <c r="K6" s="4">
        <v>30</v>
      </c>
      <c r="L6" s="4">
        <f>K6</f>
        <v>30</v>
      </c>
      <c r="M6" s="4">
        <f t="shared" si="3"/>
        <v>30</v>
      </c>
      <c r="N6" s="4">
        <f t="shared" si="3"/>
        <v>30</v>
      </c>
      <c r="O6" s="4">
        <f t="shared" si="3"/>
        <v>30</v>
      </c>
      <c r="P6" s="4">
        <f t="shared" si="3"/>
        <v>30</v>
      </c>
      <c r="Q6" s="4">
        <f t="shared" si="3"/>
        <v>30</v>
      </c>
    </row>
    <row r="7" spans="1:17" x14ac:dyDescent="0.3">
      <c r="A7" t="s">
        <v>34</v>
      </c>
      <c r="B7" s="4">
        <v>35</v>
      </c>
      <c r="C7" s="4">
        <f t="shared" si="4"/>
        <v>35</v>
      </c>
      <c r="D7" s="4">
        <f t="shared" si="4"/>
        <v>35</v>
      </c>
      <c r="E7" s="4">
        <f t="shared" si="4"/>
        <v>35</v>
      </c>
      <c r="F7" s="4">
        <f t="shared" si="4"/>
        <v>35</v>
      </c>
      <c r="G7" s="4">
        <f t="shared" si="4"/>
        <v>35</v>
      </c>
      <c r="H7" s="4">
        <f t="shared" si="4"/>
        <v>35</v>
      </c>
      <c r="I7" s="5"/>
      <c r="J7" t="s">
        <v>34</v>
      </c>
      <c r="K7" s="4">
        <v>40</v>
      </c>
      <c r="L7" s="4">
        <f>K7</f>
        <v>40</v>
      </c>
      <c r="M7" s="4">
        <f t="shared" si="3"/>
        <v>40</v>
      </c>
      <c r="N7" s="4">
        <f t="shared" si="3"/>
        <v>40</v>
      </c>
      <c r="O7" s="4">
        <f t="shared" si="3"/>
        <v>40</v>
      </c>
      <c r="P7" s="4">
        <f t="shared" si="3"/>
        <v>40</v>
      </c>
      <c r="Q7" s="4">
        <f t="shared" si="3"/>
        <v>40</v>
      </c>
    </row>
    <row r="8" spans="1:17" x14ac:dyDescent="0.3">
      <c r="A8" t="s">
        <v>35</v>
      </c>
      <c r="B8" s="4">
        <f>B6*B7^3/12</f>
        <v>107187.5</v>
      </c>
      <c r="C8" s="4">
        <f t="shared" si="4"/>
        <v>107187.5</v>
      </c>
      <c r="D8" s="4">
        <f t="shared" si="4"/>
        <v>107187.5</v>
      </c>
      <c r="E8" s="4">
        <f t="shared" si="4"/>
        <v>107187.5</v>
      </c>
      <c r="F8" s="4">
        <f t="shared" si="4"/>
        <v>107187.5</v>
      </c>
      <c r="G8" s="4">
        <f t="shared" si="4"/>
        <v>107187.5</v>
      </c>
      <c r="H8" s="4">
        <f t="shared" si="4"/>
        <v>107187.5</v>
      </c>
      <c r="I8" s="5"/>
      <c r="J8" t="s">
        <v>35</v>
      </c>
      <c r="K8" s="4">
        <f>K6*K7^3/12</f>
        <v>160000</v>
      </c>
      <c r="L8" s="4">
        <f t="shared" ref="L8:Q10" si="5">K8</f>
        <v>160000</v>
      </c>
      <c r="M8" s="4">
        <f t="shared" si="5"/>
        <v>160000</v>
      </c>
      <c r="N8" s="4">
        <f t="shared" si="5"/>
        <v>160000</v>
      </c>
      <c r="O8" s="4">
        <f t="shared" si="5"/>
        <v>160000</v>
      </c>
      <c r="P8" s="4">
        <f t="shared" si="5"/>
        <v>160000</v>
      </c>
      <c r="Q8" s="4">
        <f t="shared" si="5"/>
        <v>160000</v>
      </c>
    </row>
    <row r="9" spans="1:17" x14ac:dyDescent="0.3">
      <c r="A9" t="s">
        <v>36</v>
      </c>
      <c r="B9" s="4">
        <v>10000</v>
      </c>
      <c r="C9" s="4">
        <f t="shared" si="4"/>
        <v>10000</v>
      </c>
      <c r="D9" s="4">
        <f t="shared" si="4"/>
        <v>10000</v>
      </c>
      <c r="E9" s="4">
        <f t="shared" si="4"/>
        <v>10000</v>
      </c>
      <c r="F9" s="4">
        <f t="shared" si="4"/>
        <v>10000</v>
      </c>
      <c r="G9" s="4">
        <f t="shared" si="4"/>
        <v>10000</v>
      </c>
      <c r="H9" s="4">
        <f t="shared" si="4"/>
        <v>10000</v>
      </c>
      <c r="I9" s="5"/>
      <c r="J9" t="s">
        <v>36</v>
      </c>
      <c r="K9" s="4">
        <v>5000</v>
      </c>
      <c r="L9" s="4">
        <f t="shared" si="5"/>
        <v>5000</v>
      </c>
      <c r="M9" s="4">
        <f t="shared" si="5"/>
        <v>5000</v>
      </c>
      <c r="N9" s="4">
        <f t="shared" si="5"/>
        <v>5000</v>
      </c>
      <c r="O9" s="4">
        <f t="shared" si="5"/>
        <v>5000</v>
      </c>
      <c r="P9" s="4">
        <f t="shared" si="5"/>
        <v>5000</v>
      </c>
      <c r="Q9" s="4">
        <f t="shared" si="5"/>
        <v>5000</v>
      </c>
    </row>
    <row r="10" spans="1:17" x14ac:dyDescent="0.3">
      <c r="A10" t="s">
        <v>37</v>
      </c>
      <c r="B10" s="4">
        <v>300</v>
      </c>
      <c r="C10" s="4">
        <f t="shared" si="4"/>
        <v>300</v>
      </c>
      <c r="D10" s="4">
        <f t="shared" si="4"/>
        <v>300</v>
      </c>
      <c r="E10" s="4">
        <f t="shared" si="4"/>
        <v>300</v>
      </c>
      <c r="F10" s="4">
        <f t="shared" si="4"/>
        <v>300</v>
      </c>
      <c r="G10" s="4">
        <f t="shared" si="4"/>
        <v>300</v>
      </c>
      <c r="H10" s="4">
        <f t="shared" si="4"/>
        <v>300</v>
      </c>
      <c r="I10" s="5"/>
      <c r="J10" t="s">
        <v>37</v>
      </c>
      <c r="K10" s="4">
        <v>300</v>
      </c>
      <c r="L10" s="4">
        <f t="shared" si="5"/>
        <v>300</v>
      </c>
      <c r="M10" s="4">
        <f t="shared" si="5"/>
        <v>300</v>
      </c>
      <c r="N10" s="4">
        <f t="shared" si="5"/>
        <v>300</v>
      </c>
      <c r="O10" s="4">
        <f t="shared" si="5"/>
        <v>300</v>
      </c>
      <c r="P10" s="4">
        <f t="shared" si="5"/>
        <v>300</v>
      </c>
      <c r="Q10" s="4">
        <f t="shared" si="5"/>
        <v>300</v>
      </c>
    </row>
    <row r="11" spans="1:17" x14ac:dyDescent="0.3">
      <c r="K11" s="4"/>
      <c r="L11" s="4"/>
      <c r="M11" s="4"/>
      <c r="N11" s="4"/>
      <c r="O11" s="4"/>
      <c r="P11" s="4"/>
      <c r="Q11" s="4"/>
    </row>
    <row r="12" spans="1:17" x14ac:dyDescent="0.3">
      <c r="A12" t="s">
        <v>38</v>
      </c>
      <c r="B12" s="4">
        <f t="shared" ref="B12:H12" si="6">B9*B10^2/(16*B5*B8)</f>
        <v>0.10495626822157435</v>
      </c>
      <c r="C12" s="4">
        <f t="shared" si="6"/>
        <v>0.10495626822157435</v>
      </c>
      <c r="D12" s="4">
        <f t="shared" si="6"/>
        <v>0.10495626822157435</v>
      </c>
      <c r="E12" s="4">
        <f t="shared" si="6"/>
        <v>0.10495626822157435</v>
      </c>
      <c r="F12" s="4">
        <f t="shared" si="6"/>
        <v>0.10495626822157435</v>
      </c>
      <c r="G12" s="4">
        <f t="shared" si="6"/>
        <v>0.10495626822157435</v>
      </c>
      <c r="H12" s="4">
        <f t="shared" si="6"/>
        <v>0.10495626822157435</v>
      </c>
      <c r="I12" s="5"/>
      <c r="J12" t="s">
        <v>39</v>
      </c>
      <c r="K12" s="4">
        <f>K9*K10*K2/(K5*K8)</f>
        <v>0</v>
      </c>
      <c r="L12" s="4">
        <f t="shared" ref="L12:Q12" si="7">L9*L10*L2/(L5*L8)</f>
        <v>9.375E-2</v>
      </c>
      <c r="M12" s="4">
        <f t="shared" si="7"/>
        <v>0.1875</v>
      </c>
      <c r="N12" s="4">
        <f t="shared" si="7"/>
        <v>0.28125</v>
      </c>
      <c r="O12" s="4">
        <f t="shared" si="7"/>
        <v>0.375</v>
      </c>
      <c r="P12" s="4">
        <f t="shared" si="7"/>
        <v>0.46875</v>
      </c>
      <c r="Q12" s="4">
        <f t="shared" si="7"/>
        <v>0.5625</v>
      </c>
    </row>
    <row r="13" spans="1:17" x14ac:dyDescent="0.3">
      <c r="A13" s="6" t="s">
        <v>40</v>
      </c>
      <c r="B13" s="4">
        <f t="shared" ref="B13:H13" si="8">-B9*B2^2/(4*B5*B8)</f>
        <v>0</v>
      </c>
      <c r="C13" s="4">
        <f t="shared" si="8"/>
        <v>-2.9154518950437317E-3</v>
      </c>
      <c r="D13" s="4">
        <f t="shared" si="8"/>
        <v>-1.1661807580174927E-2</v>
      </c>
      <c r="E13" s="4">
        <f t="shared" si="8"/>
        <v>-2.6239067055393587E-2</v>
      </c>
      <c r="F13" s="4">
        <f t="shared" si="8"/>
        <v>-4.6647230320699708E-2</v>
      </c>
      <c r="G13" s="4">
        <f t="shared" si="8"/>
        <v>-7.2886297376093298E-2</v>
      </c>
      <c r="H13" s="4">
        <f t="shared" si="8"/>
        <v>-0.10495626822157435</v>
      </c>
      <c r="I13" s="5"/>
      <c r="J13" s="6" t="s">
        <v>41</v>
      </c>
      <c r="K13" s="4">
        <f>-K9*K2^2/(2*K5*K8)</f>
        <v>0</v>
      </c>
      <c r="L13" s="4">
        <f t="shared" ref="L13:Q13" si="9">-L9*L2^2/(2*L5*L8)</f>
        <v>-7.8125E-3</v>
      </c>
      <c r="M13" s="4">
        <f t="shared" si="9"/>
        <v>-3.125E-2</v>
      </c>
      <c r="N13" s="4">
        <f t="shared" si="9"/>
        <v>-7.03125E-2</v>
      </c>
      <c r="O13" s="4">
        <f t="shared" si="9"/>
        <v>-0.125</v>
      </c>
      <c r="P13" s="4">
        <f t="shared" si="9"/>
        <v>-0.1953125</v>
      </c>
      <c r="Q13" s="4">
        <f t="shared" si="9"/>
        <v>-0.28125</v>
      </c>
    </row>
    <row r="14" spans="1:17" x14ac:dyDescent="0.3">
      <c r="A14" t="s">
        <v>42</v>
      </c>
      <c r="B14" s="4">
        <f>B12+B13</f>
        <v>0.10495626822157435</v>
      </c>
      <c r="C14" s="4">
        <f t="shared" ref="C14:H14" si="10">C12+C13</f>
        <v>0.10204081632653061</v>
      </c>
      <c r="D14" s="4">
        <f t="shared" si="10"/>
        <v>9.3294460641399415E-2</v>
      </c>
      <c r="E14" s="4">
        <f t="shared" si="10"/>
        <v>7.8717201166180764E-2</v>
      </c>
      <c r="F14" s="4">
        <f t="shared" si="10"/>
        <v>5.830903790087464E-2</v>
      </c>
      <c r="G14" s="4">
        <f t="shared" si="10"/>
        <v>3.2069970845481049E-2</v>
      </c>
      <c r="H14" s="4">
        <f t="shared" si="10"/>
        <v>0</v>
      </c>
      <c r="I14" s="5"/>
      <c r="J14" t="s">
        <v>42</v>
      </c>
      <c r="K14" s="4">
        <f>K12+K13</f>
        <v>0</v>
      </c>
      <c r="L14" s="4">
        <f t="shared" ref="L14:Q14" si="11">L12+L13</f>
        <v>8.59375E-2</v>
      </c>
      <c r="M14" s="4">
        <f t="shared" si="11"/>
        <v>0.15625</v>
      </c>
      <c r="N14" s="4">
        <f t="shared" si="11"/>
        <v>0.2109375</v>
      </c>
      <c r="O14" s="4">
        <f t="shared" si="11"/>
        <v>0.25</v>
      </c>
      <c r="P14" s="4">
        <f t="shared" si="11"/>
        <v>0.2734375</v>
      </c>
      <c r="Q14" s="4">
        <f t="shared" si="11"/>
        <v>0.28125</v>
      </c>
    </row>
    <row r="15" spans="1:17" x14ac:dyDescent="0.3">
      <c r="I15" s="5"/>
      <c r="K15" s="4"/>
      <c r="L15" s="4"/>
      <c r="M15" s="4"/>
      <c r="N15" s="4"/>
      <c r="O15" s="4"/>
      <c r="P15" s="4"/>
      <c r="Q15" s="4"/>
    </row>
    <row r="16" spans="1:17" x14ac:dyDescent="0.3">
      <c r="A16" t="s">
        <v>43</v>
      </c>
      <c r="B16" s="4">
        <f>B9*B10^2*B2/(16*B5*B8)</f>
        <v>0</v>
      </c>
      <c r="C16" s="4">
        <f t="shared" ref="C16:H16" si="12">C9*C10^2*C2/(16*C5*C8)</f>
        <v>2.6239067055393588</v>
      </c>
      <c r="D16" s="4">
        <f t="shared" si="12"/>
        <v>5.2478134110787176</v>
      </c>
      <c r="E16" s="4">
        <f t="shared" si="12"/>
        <v>7.8717201166180759</v>
      </c>
      <c r="F16" s="4">
        <f t="shared" si="12"/>
        <v>10.495626822157435</v>
      </c>
      <c r="G16" s="4">
        <f t="shared" si="12"/>
        <v>13.119533527696793</v>
      </c>
      <c r="H16" s="4">
        <f t="shared" si="12"/>
        <v>15.743440233236152</v>
      </c>
      <c r="I16" s="5"/>
      <c r="J16" t="s">
        <v>44</v>
      </c>
      <c r="K16" s="4">
        <f>K9*K10*K2^2/(2*K5*K8)</f>
        <v>0</v>
      </c>
      <c r="L16" s="4">
        <f t="shared" ref="L16:Q16" si="13">L9*L10*L2^2/(2*L5*L8)</f>
        <v>2.34375</v>
      </c>
      <c r="M16" s="4">
        <f t="shared" si="13"/>
        <v>9.375</v>
      </c>
      <c r="N16" s="4">
        <f t="shared" si="13"/>
        <v>21.09375</v>
      </c>
      <c r="O16" s="4">
        <f t="shared" si="13"/>
        <v>37.5</v>
      </c>
      <c r="P16" s="4">
        <f t="shared" si="13"/>
        <v>58.59375</v>
      </c>
      <c r="Q16" s="4">
        <f t="shared" si="13"/>
        <v>84.375</v>
      </c>
    </row>
    <row r="17" spans="1:17" x14ac:dyDescent="0.3">
      <c r="A17" s="6" t="s">
        <v>45</v>
      </c>
      <c r="B17" s="4">
        <f>-B9*B2^3/(12*B5*B8)</f>
        <v>0</v>
      </c>
      <c r="C17" s="4">
        <f t="shared" ref="C17:H17" si="14">-C9*C2^3/(12*C5*C8)</f>
        <v>-2.4295432458697766E-2</v>
      </c>
      <c r="D17" s="4">
        <f t="shared" si="14"/>
        <v>-0.19436345966958213</v>
      </c>
      <c r="E17" s="4">
        <f t="shared" si="14"/>
        <v>-0.6559766763848397</v>
      </c>
      <c r="F17" s="4">
        <f t="shared" si="14"/>
        <v>-1.554907677356657</v>
      </c>
      <c r="G17" s="4">
        <f t="shared" si="14"/>
        <v>-3.0369290573372205</v>
      </c>
      <c r="H17" s="4">
        <f t="shared" si="14"/>
        <v>-5.2478134110787176</v>
      </c>
      <c r="I17" s="5"/>
      <c r="J17" s="6" t="s">
        <v>46</v>
      </c>
      <c r="K17" s="4">
        <f>-K9*K2^3/(6*K5*K8)</f>
        <v>0</v>
      </c>
      <c r="L17" s="4">
        <f t="shared" ref="L17:Q17" si="15">-L9*L2^3/(6*L5*L8)</f>
        <v>-0.13020833333333334</v>
      </c>
      <c r="M17" s="4">
        <f t="shared" si="15"/>
        <v>-1.0416666666666667</v>
      </c>
      <c r="N17" s="4">
        <f t="shared" si="15"/>
        <v>-3.515625</v>
      </c>
      <c r="O17" s="4">
        <f t="shared" si="15"/>
        <v>-8.3333333333333339</v>
      </c>
      <c r="P17" s="4">
        <f t="shared" si="15"/>
        <v>-16.276041666666668</v>
      </c>
      <c r="Q17" s="4">
        <f t="shared" si="15"/>
        <v>-28.125</v>
      </c>
    </row>
    <row r="18" spans="1:17" x14ac:dyDescent="0.3">
      <c r="A18" t="s">
        <v>47</v>
      </c>
      <c r="B18" s="4">
        <f>B16+B17</f>
        <v>0</v>
      </c>
      <c r="C18" s="4">
        <f t="shared" ref="C18:H18" si="16">C16+C17</f>
        <v>2.5996112730806611</v>
      </c>
      <c r="D18" s="4">
        <f t="shared" si="16"/>
        <v>5.0534499514091351</v>
      </c>
      <c r="E18" s="4">
        <f t="shared" si="16"/>
        <v>7.2157434402332363</v>
      </c>
      <c r="F18" s="4">
        <f t="shared" si="16"/>
        <v>8.9407191448007772</v>
      </c>
      <c r="G18" s="4">
        <f t="shared" si="16"/>
        <v>10.082604470359573</v>
      </c>
      <c r="H18" s="4">
        <f t="shared" si="16"/>
        <v>10.495626822157433</v>
      </c>
      <c r="I18" s="5"/>
      <c r="J18" t="s">
        <v>47</v>
      </c>
      <c r="K18" s="4">
        <f>K16+K17</f>
        <v>0</v>
      </c>
      <c r="L18" s="4">
        <f t="shared" ref="L18:Q18" si="17">L16+L17</f>
        <v>2.2135416666666665</v>
      </c>
      <c r="M18" s="4">
        <f t="shared" si="17"/>
        <v>8.3333333333333339</v>
      </c>
      <c r="N18" s="4">
        <f t="shared" si="17"/>
        <v>17.578125</v>
      </c>
      <c r="O18" s="4">
        <f t="shared" si="17"/>
        <v>29.166666666666664</v>
      </c>
      <c r="P18" s="4">
        <f t="shared" si="17"/>
        <v>42.317708333333329</v>
      </c>
      <c r="Q18" s="4">
        <f t="shared" si="17"/>
        <v>56.25</v>
      </c>
    </row>
    <row r="19" spans="1:17" x14ac:dyDescent="0.3">
      <c r="K19" s="4"/>
      <c r="L19" s="4"/>
      <c r="M19" s="4"/>
      <c r="N19" s="4"/>
      <c r="O19" s="4"/>
      <c r="P19" s="4"/>
      <c r="Q19" s="4"/>
    </row>
    <row r="20" spans="1:17" x14ac:dyDescent="0.3">
      <c r="A20" t="s">
        <v>48</v>
      </c>
      <c r="B20" s="4">
        <f t="shared" ref="B20:H20" si="18">COS(B14)</f>
        <v>0.99449714520141286</v>
      </c>
      <c r="C20" s="4">
        <f t="shared" si="18"/>
        <v>0.99479835169156194</v>
      </c>
      <c r="D20" s="4">
        <f t="shared" si="18"/>
        <v>0.995651227437653</v>
      </c>
      <c r="E20" s="4">
        <f t="shared" si="18"/>
        <v>0.9969034005959333</v>
      </c>
      <c r="F20" s="4">
        <f t="shared" si="18"/>
        <v>0.99830050964572636</v>
      </c>
      <c r="G20" s="4">
        <f t="shared" si="18"/>
        <v>0.99948580255753006</v>
      </c>
      <c r="H20" s="4">
        <f t="shared" si="18"/>
        <v>1</v>
      </c>
      <c r="J20" t="s">
        <v>48</v>
      </c>
      <c r="K20" s="4">
        <f t="shared" ref="K20:Q20" si="19">COS(K14)</f>
        <v>1</v>
      </c>
      <c r="L20" s="4">
        <f t="shared" si="19"/>
        <v>0.99630964506979802</v>
      </c>
      <c r="M20" s="4">
        <f t="shared" si="19"/>
        <v>0.98781778381647189</v>
      </c>
      <c r="N20" s="4">
        <f t="shared" si="19"/>
        <v>0.97783505379795976</v>
      </c>
      <c r="O20" s="4">
        <f t="shared" si="19"/>
        <v>0.96891242171064473</v>
      </c>
      <c r="P20" s="4">
        <f t="shared" si="19"/>
        <v>0.9628483147093797</v>
      </c>
      <c r="Q20" s="4">
        <f t="shared" si="19"/>
        <v>0.96070924301556193</v>
      </c>
    </row>
    <row r="21" spans="1:17" x14ac:dyDescent="0.3">
      <c r="A21" t="s">
        <v>49</v>
      </c>
      <c r="B21" s="4">
        <f t="shared" ref="B21:H21" si="20">SIN(B14)</f>
        <v>0.10476367780027608</v>
      </c>
      <c r="C21" s="4">
        <f t="shared" si="20"/>
        <v>0.10186382808314016</v>
      </c>
      <c r="D21" s="4">
        <f t="shared" si="20"/>
        <v>9.3159182595678125E-2</v>
      </c>
      <c r="E21" s="4">
        <f t="shared" si="20"/>
        <v>7.86359325007603E-2</v>
      </c>
      <c r="F21" s="4">
        <f t="shared" si="20"/>
        <v>5.8276002274375273E-2</v>
      </c>
      <c r="G21" s="4">
        <f t="shared" si="20"/>
        <v>3.2064473891366845E-2</v>
      </c>
      <c r="H21" s="4">
        <f t="shared" si="20"/>
        <v>0</v>
      </c>
      <c r="J21" t="s">
        <v>49</v>
      </c>
      <c r="K21" s="4">
        <f t="shared" ref="K21:Q21" si="21">SIN(K14)</f>
        <v>0</v>
      </c>
      <c r="L21" s="4">
        <f t="shared" si="21"/>
        <v>8.5831760676879351E-2</v>
      </c>
      <c r="M21" s="4">
        <f t="shared" si="21"/>
        <v>0.15561499277355603</v>
      </c>
      <c r="N21" s="4">
        <f t="shared" si="21"/>
        <v>0.20937671208599365</v>
      </c>
      <c r="O21" s="4">
        <f t="shared" si="21"/>
        <v>0.24740395925452294</v>
      </c>
      <c r="P21" s="4">
        <f t="shared" si="21"/>
        <v>0.27004281671858504</v>
      </c>
      <c r="Q21" s="4">
        <f t="shared" si="21"/>
        <v>0.27755675164633631</v>
      </c>
    </row>
    <row r="22" spans="1:17" x14ac:dyDescent="0.3">
      <c r="A22" t="s">
        <v>11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J22" t="s">
        <v>11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</row>
    <row r="23" spans="1:17" x14ac:dyDescent="0.3">
      <c r="A23" t="s">
        <v>12</v>
      </c>
      <c r="B23" s="4">
        <f>-B7</f>
        <v>-35</v>
      </c>
      <c r="C23" s="4">
        <f>B23</f>
        <v>-35</v>
      </c>
      <c r="D23" s="4">
        <f t="shared" ref="D23:H23" si="22">C23</f>
        <v>-35</v>
      </c>
      <c r="E23" s="4">
        <f t="shared" si="22"/>
        <v>-35</v>
      </c>
      <c r="F23" s="4">
        <f t="shared" si="22"/>
        <v>-35</v>
      </c>
      <c r="G23" s="4">
        <f t="shared" si="22"/>
        <v>-35</v>
      </c>
      <c r="H23" s="4">
        <f t="shared" si="22"/>
        <v>-35</v>
      </c>
      <c r="J23" t="s">
        <v>12</v>
      </c>
      <c r="K23" s="4">
        <f>-K7</f>
        <v>-40</v>
      </c>
      <c r="L23" s="4">
        <f>K23</f>
        <v>-40</v>
      </c>
      <c r="M23" s="4">
        <f t="shared" ref="M23:Q23" si="23">L23</f>
        <v>-40</v>
      </c>
      <c r="N23" s="4">
        <f t="shared" si="23"/>
        <v>-40</v>
      </c>
      <c r="O23" s="4">
        <f t="shared" si="23"/>
        <v>-40</v>
      </c>
      <c r="P23" s="4">
        <f t="shared" si="23"/>
        <v>-40</v>
      </c>
      <c r="Q23" s="4">
        <f t="shared" si="23"/>
        <v>-40</v>
      </c>
    </row>
    <row r="24" spans="1:17" x14ac:dyDescent="0.3">
      <c r="K24" s="4"/>
      <c r="L24" s="4"/>
      <c r="M24" s="4"/>
      <c r="N24" s="4"/>
      <c r="O24" s="4"/>
      <c r="P24" s="4"/>
      <c r="Q24" s="4"/>
    </row>
    <row r="25" spans="1:17" x14ac:dyDescent="0.3">
      <c r="A25" t="s">
        <v>50</v>
      </c>
      <c r="B25" s="4">
        <f t="shared" ref="B25:H25" si="24">B20*B22-B21*B23</f>
        <v>3.6667287230096628</v>
      </c>
      <c r="C25" s="4">
        <f t="shared" si="24"/>
        <v>3.5652339829099056</v>
      </c>
      <c r="D25" s="4">
        <f t="shared" si="24"/>
        <v>3.2605713908487344</v>
      </c>
      <c r="E25" s="4">
        <f t="shared" si="24"/>
        <v>2.7522576375266103</v>
      </c>
      <c r="F25" s="4">
        <f t="shared" si="24"/>
        <v>2.0396600796031343</v>
      </c>
      <c r="G25" s="4">
        <f t="shared" si="24"/>
        <v>1.1222565861978395</v>
      </c>
      <c r="H25" s="4">
        <f t="shared" si="24"/>
        <v>0</v>
      </c>
      <c r="J25" t="s">
        <v>50</v>
      </c>
      <c r="K25" s="4">
        <f t="shared" ref="K25:Q25" si="25">K20*K22-K21*K23</f>
        <v>0</v>
      </c>
      <c r="L25" s="4">
        <f t="shared" si="25"/>
        <v>3.4332704270751742</v>
      </c>
      <c r="M25" s="4">
        <f t="shared" si="25"/>
        <v>6.2245997109422415</v>
      </c>
      <c r="N25" s="4">
        <f t="shared" si="25"/>
        <v>8.3750684834397457</v>
      </c>
      <c r="O25" s="4">
        <f t="shared" si="25"/>
        <v>9.8961583701809168</v>
      </c>
      <c r="P25" s="4">
        <f t="shared" si="25"/>
        <v>10.801712668743402</v>
      </c>
      <c r="Q25" s="4">
        <f t="shared" si="25"/>
        <v>11.102270065853453</v>
      </c>
    </row>
    <row r="26" spans="1:17" x14ac:dyDescent="0.3">
      <c r="A26" t="s">
        <v>51</v>
      </c>
      <c r="B26" s="4">
        <f t="shared" ref="B26:H26" si="26">B21*B22+B20*B23</f>
        <v>-34.807400082049448</v>
      </c>
      <c r="C26" s="4">
        <f t="shared" si="26"/>
        <v>-34.817942309204668</v>
      </c>
      <c r="D26" s="4">
        <f t="shared" si="26"/>
        <v>-34.847792960317854</v>
      </c>
      <c r="E26" s="4">
        <f t="shared" si="26"/>
        <v>-34.891619020857668</v>
      </c>
      <c r="F26" s="4">
        <f t="shared" si="26"/>
        <v>-34.940517837600424</v>
      </c>
      <c r="G26" s="4">
        <f t="shared" si="26"/>
        <v>-34.982003089513555</v>
      </c>
      <c r="H26" s="4">
        <f t="shared" si="26"/>
        <v>-35</v>
      </c>
      <c r="J26" t="s">
        <v>51</v>
      </c>
      <c r="K26" s="4">
        <f t="shared" ref="K26:Q26" si="27">K21*K22+K20*K23</f>
        <v>-40</v>
      </c>
      <c r="L26" s="4">
        <f t="shared" si="27"/>
        <v>-39.852385802791922</v>
      </c>
      <c r="M26" s="4">
        <f t="shared" si="27"/>
        <v>-39.512711352658876</v>
      </c>
      <c r="N26" s="4">
        <f t="shared" si="27"/>
        <v>-39.113402151918393</v>
      </c>
      <c r="O26" s="4">
        <f t="shared" si="27"/>
        <v>-38.756496868425792</v>
      </c>
      <c r="P26" s="4">
        <f t="shared" si="27"/>
        <v>-38.513932588375191</v>
      </c>
      <c r="Q26" s="4">
        <f t="shared" si="27"/>
        <v>-38.428369720622477</v>
      </c>
    </row>
    <row r="27" spans="1:17" x14ac:dyDescent="0.3">
      <c r="A27" t="s">
        <v>52</v>
      </c>
      <c r="B27" s="4">
        <f>B2+B25</f>
        <v>3.6667287230096628</v>
      </c>
      <c r="C27" s="4">
        <f t="shared" ref="C27:H28" si="28">C2+C25</f>
        <v>28.565233982909906</v>
      </c>
      <c r="D27" s="4">
        <f t="shared" si="28"/>
        <v>53.260571390848732</v>
      </c>
      <c r="E27" s="4">
        <f t="shared" si="28"/>
        <v>77.752257637526611</v>
      </c>
      <c r="F27" s="4">
        <f t="shared" si="28"/>
        <v>102.03966007960314</v>
      </c>
      <c r="G27" s="4">
        <f t="shared" si="28"/>
        <v>126.12225658619784</v>
      </c>
      <c r="H27" s="4">
        <f t="shared" si="28"/>
        <v>150</v>
      </c>
      <c r="J27" t="s">
        <v>52</v>
      </c>
      <c r="K27" s="4">
        <f>K2+K25</f>
        <v>0</v>
      </c>
      <c r="L27" s="4">
        <f t="shared" ref="L27:Q28" si="29">L2+L25</f>
        <v>53.433270427075172</v>
      </c>
      <c r="M27" s="4">
        <f t="shared" si="29"/>
        <v>106.22459971094224</v>
      </c>
      <c r="N27" s="4">
        <f t="shared" si="29"/>
        <v>158.37506848343975</v>
      </c>
      <c r="O27" s="4">
        <f t="shared" si="29"/>
        <v>209.89615837018093</v>
      </c>
      <c r="P27" s="4">
        <f t="shared" si="29"/>
        <v>260.80171266874339</v>
      </c>
      <c r="Q27" s="4">
        <f t="shared" si="29"/>
        <v>311.10227006585347</v>
      </c>
    </row>
    <row r="28" spans="1:17" x14ac:dyDescent="0.3">
      <c r="A28" t="s">
        <v>53</v>
      </c>
      <c r="B28" s="4">
        <f>B3+B26</f>
        <v>-34.807400082049448</v>
      </c>
      <c r="C28" s="4">
        <f t="shared" si="28"/>
        <v>-32.218331036124006</v>
      </c>
      <c r="D28" s="4">
        <f t="shared" si="28"/>
        <v>-29.794343008908719</v>
      </c>
      <c r="E28" s="4">
        <f t="shared" si="28"/>
        <v>-27.675875580624432</v>
      </c>
      <c r="F28" s="4">
        <f t="shared" si="28"/>
        <v>-25.999798692799647</v>
      </c>
      <c r="G28" s="4">
        <f t="shared" si="28"/>
        <v>-24.899398619153981</v>
      </c>
      <c r="H28" s="4">
        <f t="shared" si="28"/>
        <v>-24.504373177842567</v>
      </c>
      <c r="J28" t="s">
        <v>53</v>
      </c>
      <c r="K28" s="4">
        <f>K3+K26</f>
        <v>-40</v>
      </c>
      <c r="L28" s="4">
        <f t="shared" si="29"/>
        <v>-37.638844136125257</v>
      </c>
      <c r="M28" s="4">
        <f t="shared" si="29"/>
        <v>-31.17937801932554</v>
      </c>
      <c r="N28" s="4">
        <f t="shared" si="29"/>
        <v>-21.535277151918393</v>
      </c>
      <c r="O28" s="4">
        <f t="shared" si="29"/>
        <v>-9.5898302017591277</v>
      </c>
      <c r="P28" s="4">
        <f t="shared" si="29"/>
        <v>3.8037757449581378</v>
      </c>
      <c r="Q28" s="4">
        <f t="shared" si="29"/>
        <v>17.821630279377523</v>
      </c>
    </row>
    <row r="31" spans="1:17" x14ac:dyDescent="0.3">
      <c r="G31" s="4">
        <v>67.5</v>
      </c>
    </row>
    <row r="32" spans="1:17" x14ac:dyDescent="0.3">
      <c r="A32">
        <v>10</v>
      </c>
      <c r="B32" s="4">
        <v>16.63</v>
      </c>
      <c r="G32" s="4">
        <f>(G$31/$B$10*2)*($B$9*$B$10/4)/$B$8*B32</f>
        <v>52.36268221574344</v>
      </c>
      <c r="H32" s="4">
        <f>G32*$B$6*1.75*B32</f>
        <v>45716.5487755102</v>
      </c>
    </row>
    <row r="33" spans="1:9" x14ac:dyDescent="0.3">
      <c r="A33">
        <v>9</v>
      </c>
      <c r="B33" s="4">
        <v>14.88</v>
      </c>
      <c r="G33" s="4">
        <f t="shared" ref="G33:G51" si="30">(G$31/$B$10*2)*($B$9*$B$10/4)/$B$8*B33</f>
        <v>46.85247813411079</v>
      </c>
      <c r="H33" s="4">
        <f t="shared" ref="H33:H51" si="31">G33*$B$6*1.75*B33</f>
        <v>36601.155918367353</v>
      </c>
    </row>
    <row r="34" spans="1:9" x14ac:dyDescent="0.3">
      <c r="A34">
        <v>8</v>
      </c>
      <c r="B34" s="4">
        <v>13.13</v>
      </c>
      <c r="G34" s="4">
        <f t="shared" si="30"/>
        <v>41.342274052478139</v>
      </c>
      <c r="H34" s="4">
        <f t="shared" si="31"/>
        <v>28498.263061224494</v>
      </c>
    </row>
    <row r="35" spans="1:9" x14ac:dyDescent="0.3">
      <c r="A35">
        <v>7</v>
      </c>
      <c r="B35" s="4">
        <v>11.38</v>
      </c>
      <c r="G35" s="4">
        <f t="shared" si="30"/>
        <v>35.832069970845488</v>
      </c>
      <c r="H35" s="4">
        <f t="shared" si="31"/>
        <v>21407.870204081635</v>
      </c>
    </row>
    <row r="36" spans="1:9" x14ac:dyDescent="0.3">
      <c r="A36">
        <v>6</v>
      </c>
      <c r="B36" s="4">
        <v>9.6300000000000008</v>
      </c>
      <c r="G36" s="4">
        <f t="shared" si="30"/>
        <v>30.32186588921283</v>
      </c>
      <c r="H36" s="4">
        <f t="shared" si="31"/>
        <v>15329.977346938776</v>
      </c>
      <c r="I36" s="7"/>
    </row>
    <row r="37" spans="1:9" x14ac:dyDescent="0.3">
      <c r="A37">
        <v>5</v>
      </c>
      <c r="B37" s="4">
        <v>7.88</v>
      </c>
      <c r="G37" s="4">
        <f t="shared" si="30"/>
        <v>24.811661807580176</v>
      </c>
      <c r="H37" s="4">
        <f t="shared" si="31"/>
        <v>10264.58448979592</v>
      </c>
    </row>
    <row r="38" spans="1:9" x14ac:dyDescent="0.3">
      <c r="A38">
        <v>4</v>
      </c>
      <c r="B38" s="4">
        <v>6.13</v>
      </c>
      <c r="G38" s="4">
        <f t="shared" si="30"/>
        <v>19.301457725947522</v>
      </c>
      <c r="H38" s="4">
        <f t="shared" si="31"/>
        <v>6211.6916326530618</v>
      </c>
    </row>
    <row r="39" spans="1:9" x14ac:dyDescent="0.3">
      <c r="A39">
        <v>3</v>
      </c>
      <c r="B39" s="4">
        <v>4.38</v>
      </c>
      <c r="G39" s="4">
        <f t="shared" si="30"/>
        <v>13.791253644314869</v>
      </c>
      <c r="H39" s="4">
        <f t="shared" si="31"/>
        <v>3171.298775510204</v>
      </c>
    </row>
    <row r="40" spans="1:9" x14ac:dyDescent="0.3">
      <c r="A40">
        <v>2</v>
      </c>
      <c r="B40" s="4">
        <v>2.63</v>
      </c>
      <c r="G40" s="4">
        <f t="shared" si="30"/>
        <v>8.2810495626822149</v>
      </c>
      <c r="H40" s="4">
        <f t="shared" si="31"/>
        <v>1143.4059183673467</v>
      </c>
    </row>
    <row r="41" spans="1:9" x14ac:dyDescent="0.3">
      <c r="A41">
        <v>1</v>
      </c>
      <c r="B41" s="4">
        <v>0.88</v>
      </c>
      <c r="G41" s="4">
        <f t="shared" si="30"/>
        <v>2.7708454810495629</v>
      </c>
      <c r="H41" s="4">
        <f t="shared" si="31"/>
        <v>128.0130612244898</v>
      </c>
    </row>
    <row r="42" spans="1:9" x14ac:dyDescent="0.3">
      <c r="B42" s="4">
        <f>-B41</f>
        <v>-0.88</v>
      </c>
      <c r="G42" s="4">
        <f t="shared" si="30"/>
        <v>-2.7708454810495629</v>
      </c>
      <c r="H42" s="4">
        <f t="shared" si="31"/>
        <v>128.0130612244898</v>
      </c>
    </row>
    <row r="43" spans="1:9" x14ac:dyDescent="0.3">
      <c r="B43" s="4">
        <f>-B40</f>
        <v>-2.63</v>
      </c>
      <c r="G43" s="4">
        <f t="shared" si="30"/>
        <v>-8.2810495626822149</v>
      </c>
      <c r="H43" s="4">
        <f t="shared" si="31"/>
        <v>1143.4059183673467</v>
      </c>
    </row>
    <row r="44" spans="1:9" x14ac:dyDescent="0.3">
      <c r="B44" s="4">
        <f>-B39</f>
        <v>-4.38</v>
      </c>
      <c r="G44" s="4">
        <f t="shared" si="30"/>
        <v>-13.791253644314869</v>
      </c>
      <c r="H44" s="4">
        <f t="shared" si="31"/>
        <v>3171.298775510204</v>
      </c>
    </row>
    <row r="45" spans="1:9" x14ac:dyDescent="0.3">
      <c r="B45" s="4">
        <f>-B38</f>
        <v>-6.13</v>
      </c>
      <c r="G45" s="4">
        <f t="shared" si="30"/>
        <v>-19.301457725947522</v>
      </c>
      <c r="H45" s="4">
        <f t="shared" si="31"/>
        <v>6211.6916326530618</v>
      </c>
    </row>
    <row r="46" spans="1:9" x14ac:dyDescent="0.3">
      <c r="B46" s="4">
        <f>-B37</f>
        <v>-7.88</v>
      </c>
      <c r="G46" s="4">
        <f t="shared" si="30"/>
        <v>-24.811661807580176</v>
      </c>
      <c r="H46" s="4">
        <f t="shared" si="31"/>
        <v>10264.58448979592</v>
      </c>
    </row>
    <row r="47" spans="1:9" x14ac:dyDescent="0.3">
      <c r="B47" s="4">
        <f>-B36</f>
        <v>-9.6300000000000008</v>
      </c>
      <c r="G47" s="4">
        <f t="shared" si="30"/>
        <v>-30.32186588921283</v>
      </c>
      <c r="H47" s="4">
        <f t="shared" si="31"/>
        <v>15329.977346938776</v>
      </c>
    </row>
    <row r="48" spans="1:9" x14ac:dyDescent="0.3">
      <c r="B48" s="4">
        <f>-B35</f>
        <v>-11.38</v>
      </c>
      <c r="G48" s="4">
        <f t="shared" si="30"/>
        <v>-35.832069970845488</v>
      </c>
      <c r="H48" s="4">
        <f t="shared" si="31"/>
        <v>21407.870204081635</v>
      </c>
    </row>
    <row r="49" spans="2:8" x14ac:dyDescent="0.3">
      <c r="B49" s="4">
        <f>-B34</f>
        <v>-13.13</v>
      </c>
      <c r="G49" s="4">
        <f t="shared" si="30"/>
        <v>-41.342274052478139</v>
      </c>
      <c r="H49" s="4">
        <f t="shared" si="31"/>
        <v>28498.263061224494</v>
      </c>
    </row>
    <row r="50" spans="2:8" x14ac:dyDescent="0.3">
      <c r="B50" s="4">
        <f>-B33</f>
        <v>-14.88</v>
      </c>
      <c r="G50" s="4">
        <f t="shared" si="30"/>
        <v>-46.85247813411079</v>
      </c>
      <c r="H50" s="4">
        <f t="shared" si="31"/>
        <v>36601.155918367353</v>
      </c>
    </row>
    <row r="51" spans="2:8" x14ac:dyDescent="0.3">
      <c r="B51" s="4">
        <f>-B32</f>
        <v>-16.63</v>
      </c>
      <c r="G51" s="4">
        <f t="shared" si="30"/>
        <v>-52.36268221574344</v>
      </c>
      <c r="H51" s="4">
        <f t="shared" si="31"/>
        <v>45716.5487755102</v>
      </c>
    </row>
    <row r="52" spans="2:8" x14ac:dyDescent="0.3">
      <c r="F52" s="4">
        <f>67.5/150</f>
        <v>0.45</v>
      </c>
      <c r="G52" s="4">
        <f>(G$31/$B$10*2)*($B$9*$B$10/4)</f>
        <v>337500</v>
      </c>
      <c r="H52" s="4">
        <f>SUM(H32:H51)</f>
        <v>336945.61836734699</v>
      </c>
    </row>
  </sheetData>
  <mergeCells count="2">
    <mergeCell ref="A1:H1"/>
    <mergeCell ref="J1:Q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opLeftCell="A25" zoomScale="85" zoomScaleNormal="85" workbookViewId="0">
      <selection activeCell="K32" sqref="K32"/>
    </sheetView>
  </sheetViews>
  <sheetFormatPr defaultRowHeight="16.5" x14ac:dyDescent="0.3"/>
  <cols>
    <col min="2" max="3" width="12.75" style="4" customWidth="1"/>
    <col min="4" max="4" width="14.625" style="4" customWidth="1"/>
    <col min="5" max="5" width="14" style="4" customWidth="1"/>
    <col min="6" max="6" width="15.125" style="4" customWidth="1"/>
    <col min="7" max="8" width="12.75" style="4" customWidth="1"/>
    <col min="9" max="17" width="12.75" customWidth="1"/>
    <col min="18" max="18" width="13.625" bestFit="1" customWidth="1"/>
    <col min="21" max="21" width="11.5" bestFit="1" customWidth="1"/>
    <col min="22" max="22" width="11.5" customWidth="1"/>
  </cols>
  <sheetData>
    <row r="1" spans="1:17" x14ac:dyDescent="0.3">
      <c r="A1" s="8" t="s">
        <v>30</v>
      </c>
      <c r="B1" s="8"/>
      <c r="C1" s="8"/>
      <c r="D1" s="8"/>
      <c r="E1" s="8"/>
      <c r="F1" s="8"/>
      <c r="G1" s="8"/>
      <c r="H1" s="8"/>
      <c r="J1" s="8" t="s">
        <v>31</v>
      </c>
      <c r="K1" s="8"/>
      <c r="L1" s="8"/>
      <c r="M1" s="8"/>
      <c r="N1" s="8"/>
      <c r="O1" s="8"/>
      <c r="P1" s="8"/>
      <c r="Q1" s="8"/>
    </row>
    <row r="2" spans="1:17" x14ac:dyDescent="0.3">
      <c r="A2" t="s">
        <v>11</v>
      </c>
      <c r="B2" s="4">
        <v>0</v>
      </c>
      <c r="C2" s="4">
        <v>25</v>
      </c>
      <c r="D2" s="4">
        <v>50</v>
      </c>
      <c r="E2" s="4">
        <v>75</v>
      </c>
      <c r="F2" s="4">
        <v>100</v>
      </c>
      <c r="G2" s="4">
        <v>125</v>
      </c>
      <c r="H2" s="4">
        <v>150</v>
      </c>
      <c r="I2" s="5"/>
      <c r="J2" t="s">
        <v>11</v>
      </c>
      <c r="K2" s="4">
        <v>0</v>
      </c>
      <c r="L2" s="4">
        <v>50</v>
      </c>
      <c r="M2" s="4">
        <v>100</v>
      </c>
      <c r="N2" s="4">
        <v>150</v>
      </c>
      <c r="O2" s="4">
        <v>200</v>
      </c>
      <c r="P2" s="4">
        <v>250</v>
      </c>
      <c r="Q2" s="4">
        <v>300</v>
      </c>
    </row>
    <row r="3" spans="1:17" x14ac:dyDescent="0.3">
      <c r="A3" t="s">
        <v>12</v>
      </c>
      <c r="B3" s="4">
        <f>B18</f>
        <v>0</v>
      </c>
      <c r="C3" s="4">
        <f t="shared" ref="C3:H3" si="0">C18</f>
        <v>10.898148148148147</v>
      </c>
      <c r="D3" s="4">
        <f t="shared" si="0"/>
        <v>21.185185185185183</v>
      </c>
      <c r="E3" s="4">
        <f t="shared" si="0"/>
        <v>30.249999999999993</v>
      </c>
      <c r="F3" s="4">
        <f t="shared" si="0"/>
        <v>37.481481481481474</v>
      </c>
      <c r="G3" s="4">
        <f t="shared" si="0"/>
        <v>42.268518518518512</v>
      </c>
      <c r="H3" s="4">
        <f t="shared" si="0"/>
        <v>43.999999999999986</v>
      </c>
      <c r="I3" s="5"/>
      <c r="J3" t="s">
        <v>12</v>
      </c>
      <c r="K3" s="4">
        <f>K18</f>
        <v>0</v>
      </c>
      <c r="L3" s="4">
        <f t="shared" ref="L3:Q3" si="1">L18</f>
        <v>2.2135416666666665</v>
      </c>
      <c r="M3" s="4">
        <f t="shared" si="1"/>
        <v>8.3333333333333339</v>
      </c>
      <c r="N3" s="4">
        <f t="shared" si="1"/>
        <v>17.578125</v>
      </c>
      <c r="O3" s="4">
        <f t="shared" si="1"/>
        <v>29.166666666666664</v>
      </c>
      <c r="P3" s="4">
        <f t="shared" si="1"/>
        <v>42.317708333333329</v>
      </c>
      <c r="Q3" s="4">
        <f t="shared" si="1"/>
        <v>56.25</v>
      </c>
    </row>
    <row r="4" spans="1:17" x14ac:dyDescent="0.3">
      <c r="I4" s="5"/>
      <c r="K4" s="4"/>
      <c r="L4" s="4"/>
      <c r="M4" s="4"/>
      <c r="N4" s="4"/>
      <c r="O4" s="4"/>
      <c r="P4" s="4"/>
      <c r="Q4" s="4"/>
    </row>
    <row r="5" spans="1:17" x14ac:dyDescent="0.3">
      <c r="A5" t="s">
        <v>32</v>
      </c>
      <c r="B5" s="4">
        <f>5000</f>
        <v>5000</v>
      </c>
      <c r="C5" s="4">
        <f>B5</f>
        <v>5000</v>
      </c>
      <c r="D5" s="4">
        <f t="shared" ref="D5:H5" si="2">C5</f>
        <v>5000</v>
      </c>
      <c r="E5" s="4">
        <f t="shared" si="2"/>
        <v>5000</v>
      </c>
      <c r="F5" s="4">
        <f t="shared" si="2"/>
        <v>5000</v>
      </c>
      <c r="G5" s="4">
        <f t="shared" si="2"/>
        <v>5000</v>
      </c>
      <c r="H5" s="4">
        <f t="shared" si="2"/>
        <v>5000</v>
      </c>
      <c r="I5" s="5"/>
      <c r="J5" t="s">
        <v>32</v>
      </c>
      <c r="K5" s="4">
        <f>5000</f>
        <v>5000</v>
      </c>
      <c r="L5" s="4">
        <f>K5</f>
        <v>5000</v>
      </c>
      <c r="M5" s="4">
        <f t="shared" ref="M5:Q7" si="3">L5</f>
        <v>5000</v>
      </c>
      <c r="N5" s="4">
        <f t="shared" si="3"/>
        <v>5000</v>
      </c>
      <c r="O5" s="4">
        <f t="shared" si="3"/>
        <v>5000</v>
      </c>
      <c r="P5" s="4">
        <f t="shared" si="3"/>
        <v>5000</v>
      </c>
      <c r="Q5" s="4">
        <f t="shared" si="3"/>
        <v>5000</v>
      </c>
    </row>
    <row r="6" spans="1:17" x14ac:dyDescent="0.3">
      <c r="A6" t="s">
        <v>33</v>
      </c>
      <c r="B6" s="4">
        <v>30</v>
      </c>
      <c r="C6" s="4">
        <f t="shared" ref="C6:H10" si="4">B6</f>
        <v>30</v>
      </c>
      <c r="D6" s="4">
        <f t="shared" si="4"/>
        <v>30</v>
      </c>
      <c r="E6" s="4">
        <f t="shared" si="4"/>
        <v>30</v>
      </c>
      <c r="F6" s="4">
        <f t="shared" si="4"/>
        <v>30</v>
      </c>
      <c r="G6" s="4">
        <f t="shared" si="4"/>
        <v>30</v>
      </c>
      <c r="H6" s="4">
        <f t="shared" si="4"/>
        <v>30</v>
      </c>
      <c r="I6" s="5"/>
      <c r="J6" t="s">
        <v>33</v>
      </c>
      <c r="K6" s="4">
        <v>30</v>
      </c>
      <c r="L6" s="4">
        <f>K6</f>
        <v>30</v>
      </c>
      <c r="M6" s="4">
        <f t="shared" si="3"/>
        <v>30</v>
      </c>
      <c r="N6" s="4">
        <f t="shared" si="3"/>
        <v>30</v>
      </c>
      <c r="O6" s="4">
        <f t="shared" si="3"/>
        <v>30</v>
      </c>
      <c r="P6" s="4">
        <f t="shared" si="3"/>
        <v>30</v>
      </c>
      <c r="Q6" s="4">
        <f t="shared" si="3"/>
        <v>30</v>
      </c>
    </row>
    <row r="7" spans="1:17" x14ac:dyDescent="0.3">
      <c r="A7" t="s">
        <v>34</v>
      </c>
      <c r="B7" s="4">
        <v>35</v>
      </c>
      <c r="C7" s="4">
        <f t="shared" si="4"/>
        <v>35</v>
      </c>
      <c r="D7" s="4">
        <f t="shared" si="4"/>
        <v>35</v>
      </c>
      <c r="E7" s="4">
        <f t="shared" si="4"/>
        <v>35</v>
      </c>
      <c r="F7" s="4">
        <f t="shared" si="4"/>
        <v>35</v>
      </c>
      <c r="G7" s="4">
        <f t="shared" si="4"/>
        <v>35</v>
      </c>
      <c r="H7" s="4">
        <f t="shared" si="4"/>
        <v>35</v>
      </c>
      <c r="I7" s="5"/>
      <c r="J7" t="s">
        <v>34</v>
      </c>
      <c r="K7" s="4">
        <v>40</v>
      </c>
      <c r="L7" s="4">
        <f>K7</f>
        <v>40</v>
      </c>
      <c r="M7" s="4">
        <f t="shared" si="3"/>
        <v>40</v>
      </c>
      <c r="N7" s="4">
        <f t="shared" si="3"/>
        <v>40</v>
      </c>
      <c r="O7" s="4">
        <f t="shared" si="3"/>
        <v>40</v>
      </c>
      <c r="P7" s="4">
        <f t="shared" si="3"/>
        <v>40</v>
      </c>
      <c r="Q7" s="4">
        <f t="shared" si="3"/>
        <v>40</v>
      </c>
    </row>
    <row r="8" spans="1:17" x14ac:dyDescent="0.3">
      <c r="A8" t="s">
        <v>35</v>
      </c>
      <c r="B8" s="4">
        <f>B6*B7^3/12</f>
        <v>107187.5</v>
      </c>
      <c r="C8" s="4">
        <f t="shared" si="4"/>
        <v>107187.5</v>
      </c>
      <c r="D8" s="4">
        <f t="shared" si="4"/>
        <v>107187.5</v>
      </c>
      <c r="E8" s="4">
        <f t="shared" si="4"/>
        <v>107187.5</v>
      </c>
      <c r="F8" s="4">
        <f t="shared" si="4"/>
        <v>107187.5</v>
      </c>
      <c r="G8" s="4">
        <f t="shared" si="4"/>
        <v>107187.5</v>
      </c>
      <c r="H8" s="4">
        <f t="shared" si="4"/>
        <v>107187.5</v>
      </c>
      <c r="I8" s="5"/>
      <c r="J8" t="s">
        <v>35</v>
      </c>
      <c r="K8" s="4">
        <f>K6*K7^3/12</f>
        <v>160000</v>
      </c>
      <c r="L8" s="4">
        <f t="shared" ref="L8:Q10" si="5">K8</f>
        <v>160000</v>
      </c>
      <c r="M8" s="4">
        <f t="shared" si="5"/>
        <v>160000</v>
      </c>
      <c r="N8" s="4">
        <f t="shared" si="5"/>
        <v>160000</v>
      </c>
      <c r="O8" s="4">
        <f t="shared" si="5"/>
        <v>160000</v>
      </c>
      <c r="P8" s="4">
        <f t="shared" si="5"/>
        <v>160000</v>
      </c>
      <c r="Q8" s="4">
        <f t="shared" si="5"/>
        <v>160000</v>
      </c>
    </row>
    <row r="9" spans="1:17" x14ac:dyDescent="0.3">
      <c r="A9" t="s">
        <v>36</v>
      </c>
      <c r="B9" s="4">
        <f>U19</f>
        <v>41922.222222222219</v>
      </c>
      <c r="C9" s="4">
        <f t="shared" si="4"/>
        <v>41922.222222222219</v>
      </c>
      <c r="D9" s="4">
        <f t="shared" si="4"/>
        <v>41922.222222222219</v>
      </c>
      <c r="E9" s="4">
        <f t="shared" si="4"/>
        <v>41922.222222222219</v>
      </c>
      <c r="F9" s="4">
        <f t="shared" si="4"/>
        <v>41922.222222222219</v>
      </c>
      <c r="G9" s="4">
        <f t="shared" si="4"/>
        <v>41922.222222222219</v>
      </c>
      <c r="H9" s="4">
        <f t="shared" si="4"/>
        <v>41922.222222222219</v>
      </c>
      <c r="I9" s="5"/>
      <c r="J9" t="s">
        <v>36</v>
      </c>
      <c r="K9" s="4">
        <v>5000</v>
      </c>
      <c r="L9" s="4">
        <f t="shared" si="5"/>
        <v>5000</v>
      </c>
      <c r="M9" s="4">
        <f t="shared" si="5"/>
        <v>5000</v>
      </c>
      <c r="N9" s="4">
        <f t="shared" si="5"/>
        <v>5000</v>
      </c>
      <c r="O9" s="4">
        <f t="shared" si="5"/>
        <v>5000</v>
      </c>
      <c r="P9" s="4">
        <f t="shared" si="5"/>
        <v>5000</v>
      </c>
      <c r="Q9" s="4">
        <f t="shared" si="5"/>
        <v>5000</v>
      </c>
    </row>
    <row r="10" spans="1:17" x14ac:dyDescent="0.3">
      <c r="A10" t="s">
        <v>37</v>
      </c>
      <c r="B10" s="4">
        <v>300</v>
      </c>
      <c r="C10" s="4">
        <f t="shared" si="4"/>
        <v>300</v>
      </c>
      <c r="D10" s="4">
        <f t="shared" si="4"/>
        <v>300</v>
      </c>
      <c r="E10" s="4">
        <f t="shared" si="4"/>
        <v>300</v>
      </c>
      <c r="F10" s="4">
        <f t="shared" si="4"/>
        <v>300</v>
      </c>
      <c r="G10" s="4">
        <f t="shared" si="4"/>
        <v>300</v>
      </c>
      <c r="H10" s="4">
        <f t="shared" si="4"/>
        <v>300</v>
      </c>
      <c r="I10" s="5"/>
      <c r="J10" t="s">
        <v>37</v>
      </c>
      <c r="K10" s="4">
        <v>300</v>
      </c>
      <c r="L10" s="4">
        <f t="shared" si="5"/>
        <v>300</v>
      </c>
      <c r="M10" s="4">
        <f t="shared" si="5"/>
        <v>300</v>
      </c>
      <c r="N10" s="4">
        <f t="shared" si="5"/>
        <v>300</v>
      </c>
      <c r="O10" s="4">
        <f t="shared" si="5"/>
        <v>300</v>
      </c>
      <c r="P10" s="4">
        <f t="shared" si="5"/>
        <v>300</v>
      </c>
      <c r="Q10" s="4">
        <f t="shared" si="5"/>
        <v>300</v>
      </c>
    </row>
    <row r="11" spans="1:17" x14ac:dyDescent="0.3">
      <c r="K11" s="4"/>
      <c r="L11" s="4"/>
      <c r="M11" s="4"/>
      <c r="N11" s="4"/>
      <c r="O11" s="4"/>
      <c r="P11" s="4"/>
      <c r="Q11" s="4"/>
    </row>
    <row r="12" spans="1:17" x14ac:dyDescent="0.3">
      <c r="A12" t="s">
        <v>38</v>
      </c>
      <c r="B12" s="4">
        <f t="shared" ref="B12:H12" si="6">B9*B10^2/(16*B5*B8)</f>
        <v>0.43999999999999995</v>
      </c>
      <c r="C12" s="4">
        <f t="shared" si="6"/>
        <v>0.43999999999999995</v>
      </c>
      <c r="D12" s="4">
        <f t="shared" si="6"/>
        <v>0.43999999999999995</v>
      </c>
      <c r="E12" s="4">
        <f t="shared" si="6"/>
        <v>0.43999999999999995</v>
      </c>
      <c r="F12" s="4">
        <f t="shared" si="6"/>
        <v>0.43999999999999995</v>
      </c>
      <c r="G12" s="4">
        <f t="shared" si="6"/>
        <v>0.43999999999999995</v>
      </c>
      <c r="H12" s="4">
        <f t="shared" si="6"/>
        <v>0.43999999999999995</v>
      </c>
      <c r="I12" s="5"/>
      <c r="J12" t="s">
        <v>39</v>
      </c>
      <c r="K12" s="4">
        <f>K9*K10*K2/(K5*K8)</f>
        <v>0</v>
      </c>
      <c r="L12" s="4">
        <f t="shared" ref="L12:Q12" si="7">L9*L10*L2/(L5*L8)</f>
        <v>9.375E-2</v>
      </c>
      <c r="M12" s="4">
        <f t="shared" si="7"/>
        <v>0.1875</v>
      </c>
      <c r="N12" s="4">
        <f t="shared" si="7"/>
        <v>0.28125</v>
      </c>
      <c r="O12" s="4">
        <f t="shared" si="7"/>
        <v>0.375</v>
      </c>
      <c r="P12" s="4">
        <f t="shared" si="7"/>
        <v>0.46875</v>
      </c>
      <c r="Q12" s="4">
        <f t="shared" si="7"/>
        <v>0.5625</v>
      </c>
    </row>
    <row r="13" spans="1:17" x14ac:dyDescent="0.3">
      <c r="A13" s="6" t="s">
        <v>40</v>
      </c>
      <c r="B13" s="4">
        <f t="shared" ref="B13:H13" si="8">-B9*B2^2/(4*B5*B8)</f>
        <v>0</v>
      </c>
      <c r="C13" s="4">
        <f t="shared" si="8"/>
        <v>-1.2222222222222221E-2</v>
      </c>
      <c r="D13" s="4">
        <f t="shared" si="8"/>
        <v>-4.8888888888888885E-2</v>
      </c>
      <c r="E13" s="4">
        <f t="shared" si="8"/>
        <v>-0.10999999999999999</v>
      </c>
      <c r="F13" s="4">
        <f t="shared" si="8"/>
        <v>-0.19555555555555554</v>
      </c>
      <c r="G13" s="4">
        <f t="shared" si="8"/>
        <v>-0.30555555555555552</v>
      </c>
      <c r="H13" s="4">
        <f t="shared" si="8"/>
        <v>-0.43999999999999995</v>
      </c>
      <c r="I13" s="5"/>
      <c r="J13" s="6" t="s">
        <v>41</v>
      </c>
      <c r="K13" s="4">
        <f>-K9*K2^2/(2*K5*K8)</f>
        <v>0</v>
      </c>
      <c r="L13" s="4">
        <f t="shared" ref="L13:Q13" si="9">-L9*L2^2/(2*L5*L8)</f>
        <v>-7.8125E-3</v>
      </c>
      <c r="M13" s="4">
        <f t="shared" si="9"/>
        <v>-3.125E-2</v>
      </c>
      <c r="N13" s="4">
        <f t="shared" si="9"/>
        <v>-7.03125E-2</v>
      </c>
      <c r="O13" s="4">
        <f t="shared" si="9"/>
        <v>-0.125</v>
      </c>
      <c r="P13" s="4">
        <f t="shared" si="9"/>
        <v>-0.1953125</v>
      </c>
      <c r="Q13" s="4">
        <f t="shared" si="9"/>
        <v>-0.28125</v>
      </c>
    </row>
    <row r="14" spans="1:17" x14ac:dyDescent="0.3">
      <c r="A14" t="s">
        <v>42</v>
      </c>
      <c r="B14" s="4">
        <f>B12+B13</f>
        <v>0.43999999999999995</v>
      </c>
      <c r="C14" s="4">
        <f t="shared" ref="C14:H14" si="10">C12+C13</f>
        <v>0.4277777777777777</v>
      </c>
      <c r="D14" s="4">
        <f t="shared" si="10"/>
        <v>0.39111111111111108</v>
      </c>
      <c r="E14" s="4">
        <f t="shared" si="10"/>
        <v>0.32999999999999996</v>
      </c>
      <c r="F14" s="4">
        <f t="shared" si="10"/>
        <v>0.24444444444444441</v>
      </c>
      <c r="G14" s="4">
        <f t="shared" si="10"/>
        <v>0.13444444444444442</v>
      </c>
      <c r="H14" s="4">
        <f t="shared" si="10"/>
        <v>0</v>
      </c>
      <c r="I14" s="5"/>
      <c r="J14" t="s">
        <v>42</v>
      </c>
      <c r="K14" s="4">
        <f>K12+K13</f>
        <v>0</v>
      </c>
      <c r="L14" s="4">
        <f t="shared" ref="L14:Q14" si="11">L12+L13</f>
        <v>8.59375E-2</v>
      </c>
      <c r="M14" s="4">
        <f t="shared" si="11"/>
        <v>0.15625</v>
      </c>
      <c r="N14" s="4">
        <f t="shared" si="11"/>
        <v>0.2109375</v>
      </c>
      <c r="O14" s="4">
        <f t="shared" si="11"/>
        <v>0.25</v>
      </c>
      <c r="P14" s="4">
        <f t="shared" si="11"/>
        <v>0.2734375</v>
      </c>
      <c r="Q14" s="4">
        <f t="shared" si="11"/>
        <v>0.28125</v>
      </c>
    </row>
    <row r="15" spans="1:17" x14ac:dyDescent="0.3">
      <c r="I15" s="5"/>
      <c r="K15" s="4"/>
      <c r="L15" s="4"/>
      <c r="M15" s="4"/>
      <c r="N15" s="4"/>
      <c r="O15" s="4"/>
      <c r="P15" s="4"/>
      <c r="Q15" s="4"/>
    </row>
    <row r="16" spans="1:17" x14ac:dyDescent="0.3">
      <c r="A16" t="s">
        <v>43</v>
      </c>
      <c r="B16" s="4">
        <f>B9*B10^2*B2/(16*B5*B8)</f>
        <v>0</v>
      </c>
      <c r="C16" s="4">
        <f t="shared" ref="C16:H16" si="12">C9*C10^2*C2/(16*C5*C8)</f>
        <v>10.999999999999998</v>
      </c>
      <c r="D16" s="4">
        <f t="shared" si="12"/>
        <v>21.999999999999996</v>
      </c>
      <c r="E16" s="4">
        <f t="shared" si="12"/>
        <v>32.999999999999993</v>
      </c>
      <c r="F16" s="4">
        <f t="shared" si="12"/>
        <v>43.999999999999993</v>
      </c>
      <c r="G16" s="4">
        <f t="shared" si="12"/>
        <v>54.999999999999993</v>
      </c>
      <c r="H16" s="4">
        <f t="shared" si="12"/>
        <v>65.999999999999986</v>
      </c>
      <c r="I16" s="5"/>
      <c r="J16" t="s">
        <v>44</v>
      </c>
      <c r="K16" s="4">
        <f>K9*K10*K2^2/(2*K5*K8)</f>
        <v>0</v>
      </c>
      <c r="L16" s="4">
        <f t="shared" ref="L16:Q16" si="13">L9*L10*L2^2/(2*L5*L8)</f>
        <v>2.34375</v>
      </c>
      <c r="M16" s="4">
        <f t="shared" si="13"/>
        <v>9.375</v>
      </c>
      <c r="N16" s="4">
        <f t="shared" si="13"/>
        <v>21.09375</v>
      </c>
      <c r="O16" s="4">
        <f t="shared" si="13"/>
        <v>37.5</v>
      </c>
      <c r="P16" s="4">
        <f t="shared" si="13"/>
        <v>58.59375</v>
      </c>
      <c r="Q16" s="4">
        <f t="shared" si="13"/>
        <v>84.375</v>
      </c>
    </row>
    <row r="17" spans="1:22" x14ac:dyDescent="0.3">
      <c r="A17" s="6" t="s">
        <v>45</v>
      </c>
      <c r="B17" s="4">
        <f>-B9*B2^3/(12*B5*B8)</f>
        <v>0</v>
      </c>
      <c r="C17" s="4">
        <f t="shared" ref="C17:H17" si="14">-C9*C2^3/(12*C5*C8)</f>
        <v>-0.10185185185185185</v>
      </c>
      <c r="D17" s="4">
        <f t="shared" si="14"/>
        <v>-0.81481481481481477</v>
      </c>
      <c r="E17" s="4">
        <f t="shared" si="14"/>
        <v>-2.75</v>
      </c>
      <c r="F17" s="4">
        <f t="shared" si="14"/>
        <v>-6.5185185185185182</v>
      </c>
      <c r="G17" s="4">
        <f t="shared" si="14"/>
        <v>-12.731481481481481</v>
      </c>
      <c r="H17" s="4">
        <f t="shared" si="14"/>
        <v>-22</v>
      </c>
      <c r="I17" s="5"/>
      <c r="J17" s="6" t="s">
        <v>46</v>
      </c>
      <c r="K17" s="4">
        <f>-K9*K2^3/(6*K5*K8)</f>
        <v>0</v>
      </c>
      <c r="L17" s="4">
        <f t="shared" ref="L17:Q17" si="15">-L9*L2^3/(6*L5*L8)</f>
        <v>-0.13020833333333334</v>
      </c>
      <c r="M17" s="4">
        <f t="shared" si="15"/>
        <v>-1.0416666666666667</v>
      </c>
      <c r="N17" s="4">
        <f t="shared" si="15"/>
        <v>-3.515625</v>
      </c>
      <c r="O17" s="4">
        <f t="shared" si="15"/>
        <v>-8.3333333333333339</v>
      </c>
      <c r="P17" s="4">
        <f t="shared" si="15"/>
        <v>-16.276041666666668</v>
      </c>
      <c r="Q17" s="4">
        <f t="shared" si="15"/>
        <v>-28.125</v>
      </c>
      <c r="U17" t="s">
        <v>64</v>
      </c>
      <c r="V17" t="s">
        <v>65</v>
      </c>
    </row>
    <row r="18" spans="1:22" x14ac:dyDescent="0.3">
      <c r="A18" t="s">
        <v>47</v>
      </c>
      <c r="B18" s="4">
        <f>B16+B17</f>
        <v>0</v>
      </c>
      <c r="C18" s="4">
        <f t="shared" ref="C18:H18" si="16">C16+C17</f>
        <v>10.898148148148147</v>
      </c>
      <c r="D18" s="4">
        <f t="shared" si="16"/>
        <v>21.185185185185183</v>
      </c>
      <c r="E18" s="4">
        <f t="shared" si="16"/>
        <v>30.249999999999993</v>
      </c>
      <c r="F18" s="4">
        <f t="shared" si="16"/>
        <v>37.481481481481474</v>
      </c>
      <c r="G18" s="4">
        <f t="shared" si="16"/>
        <v>42.268518518518512</v>
      </c>
      <c r="H18" s="4">
        <f t="shared" si="16"/>
        <v>43.999999999999986</v>
      </c>
      <c r="I18" s="5"/>
      <c r="J18" t="s">
        <v>47</v>
      </c>
      <c r="K18" s="4">
        <f>K16+K17</f>
        <v>0</v>
      </c>
      <c r="L18" s="4">
        <f t="shared" ref="L18:Q18" si="17">L16+L17</f>
        <v>2.2135416666666665</v>
      </c>
      <c r="M18" s="4">
        <f t="shared" si="17"/>
        <v>8.3333333333333339</v>
      </c>
      <c r="N18" s="4">
        <f t="shared" si="17"/>
        <v>17.578125</v>
      </c>
      <c r="O18" s="4">
        <f t="shared" si="17"/>
        <v>29.166666666666664</v>
      </c>
      <c r="P18" s="4">
        <f t="shared" si="17"/>
        <v>42.317708333333329</v>
      </c>
      <c r="Q18" s="4">
        <f t="shared" si="17"/>
        <v>56.25</v>
      </c>
      <c r="T18" t="s">
        <v>61</v>
      </c>
      <c r="U18" s="11">
        <v>44</v>
      </c>
      <c r="V18" s="11">
        <f>U18</f>
        <v>44</v>
      </c>
    </row>
    <row r="19" spans="1:22" x14ac:dyDescent="0.3">
      <c r="I19" s="5"/>
      <c r="K19" s="4"/>
      <c r="L19" s="4"/>
      <c r="M19" s="4"/>
      <c r="N19" s="4"/>
      <c r="O19" s="4"/>
      <c r="P19" s="4"/>
      <c r="Q19" s="4"/>
      <c r="T19" t="s">
        <v>59</v>
      </c>
      <c r="U19" s="7">
        <f>U18*48*B5*B8/B10^3</f>
        <v>41922.222222222219</v>
      </c>
      <c r="V19" s="7">
        <f>V18*3*C5*C8/C10^3</f>
        <v>2620.1388888888887</v>
      </c>
    </row>
    <row r="20" spans="1:22" x14ac:dyDescent="0.3">
      <c r="K20" s="4"/>
      <c r="L20" s="4"/>
      <c r="M20" s="4"/>
      <c r="N20" s="4"/>
      <c r="O20" s="4"/>
      <c r="P20" s="4"/>
      <c r="Q20" s="4"/>
      <c r="T20" t="s">
        <v>62</v>
      </c>
      <c r="U20" s="10">
        <f>U19*B10/4</f>
        <v>3144166.6666666665</v>
      </c>
      <c r="V20" s="10">
        <f>V19*C10</f>
        <v>786041.66666666663</v>
      </c>
    </row>
    <row r="21" spans="1:22" x14ac:dyDescent="0.3">
      <c r="A21" t="s">
        <v>48</v>
      </c>
      <c r="B21" s="4">
        <f t="shared" ref="B21:H21" si="18">COS(B14)</f>
        <v>0.90475166321996348</v>
      </c>
      <c r="C21" s="4">
        <f t="shared" si="18"/>
        <v>0.90988988411443472</v>
      </c>
      <c r="D21" s="4">
        <f t="shared" si="18"/>
        <v>0.92448605744041434</v>
      </c>
      <c r="E21" s="4">
        <f t="shared" si="18"/>
        <v>0.94604234352838701</v>
      </c>
      <c r="F21" s="4">
        <f t="shared" si="18"/>
        <v>0.9702719287669288</v>
      </c>
      <c r="G21" s="4">
        <f t="shared" si="18"/>
        <v>0.99097595067883759</v>
      </c>
      <c r="H21" s="4">
        <f t="shared" si="18"/>
        <v>1</v>
      </c>
      <c r="J21" t="s">
        <v>48</v>
      </c>
      <c r="K21" s="4">
        <f t="shared" ref="K21:Q21" si="19">COS(K14)</f>
        <v>1</v>
      </c>
      <c r="L21" s="4">
        <f t="shared" si="19"/>
        <v>0.99630964506979802</v>
      </c>
      <c r="M21" s="4">
        <f t="shared" si="19"/>
        <v>0.98781778381647189</v>
      </c>
      <c r="N21" s="4">
        <f t="shared" si="19"/>
        <v>0.97783505379795976</v>
      </c>
      <c r="O21" s="4">
        <f t="shared" si="19"/>
        <v>0.96891242171064473</v>
      </c>
      <c r="P21" s="4">
        <f t="shared" si="19"/>
        <v>0.9628483147093797</v>
      </c>
      <c r="Q21" s="4">
        <f t="shared" si="19"/>
        <v>0.96070924301556193</v>
      </c>
      <c r="T21" t="s">
        <v>63</v>
      </c>
      <c r="U21" s="7">
        <f>U20/B8*(B7/2*(14/15))</f>
        <v>479.11111111111103</v>
      </c>
      <c r="V21" s="7">
        <f>V20/C8*(C7/2*(14/15))</f>
        <v>119.77777777777776</v>
      </c>
    </row>
    <row r="22" spans="1:22" x14ac:dyDescent="0.3">
      <c r="A22" t="s">
        <v>49</v>
      </c>
      <c r="B22" s="4">
        <f t="shared" ref="B22:H22" si="20">SIN(B14)</f>
        <v>0.42593946506599956</v>
      </c>
      <c r="C22" s="4">
        <f t="shared" si="20"/>
        <v>0.41484985089333298</v>
      </c>
      <c r="D22" s="4">
        <f t="shared" si="20"/>
        <v>0.38121585696069737</v>
      </c>
      <c r="E22" s="4">
        <f t="shared" si="20"/>
        <v>0.32404302839486832</v>
      </c>
      <c r="F22" s="4">
        <f t="shared" si="20"/>
        <v>0.24201732220422556</v>
      </c>
      <c r="G22" s="4">
        <f t="shared" si="20"/>
        <v>0.13403978952599896</v>
      </c>
      <c r="H22" s="4">
        <f t="shared" si="20"/>
        <v>0</v>
      </c>
      <c r="J22" t="s">
        <v>49</v>
      </c>
      <c r="K22" s="4">
        <f t="shared" ref="K22:Q22" si="21">SIN(K14)</f>
        <v>0</v>
      </c>
      <c r="L22" s="4">
        <f t="shared" si="21"/>
        <v>8.5831760676879351E-2</v>
      </c>
      <c r="M22" s="4">
        <f t="shared" si="21"/>
        <v>0.15561499277355603</v>
      </c>
      <c r="N22" s="4">
        <f t="shared" si="21"/>
        <v>0.20937671208599365</v>
      </c>
      <c r="O22" s="4">
        <f t="shared" si="21"/>
        <v>0.24740395925452294</v>
      </c>
      <c r="P22" s="4">
        <f t="shared" si="21"/>
        <v>0.27004281671858504</v>
      </c>
      <c r="Q22" s="4">
        <f t="shared" si="21"/>
        <v>0.27755675164633631</v>
      </c>
      <c r="T22" t="s">
        <v>60</v>
      </c>
      <c r="U22" s="12">
        <f>U21/B5</f>
        <v>9.5822222222222211E-2</v>
      </c>
      <c r="V22" s="12">
        <f>V21/C5</f>
        <v>2.3955555555555553E-2</v>
      </c>
    </row>
    <row r="23" spans="1:22" x14ac:dyDescent="0.3">
      <c r="A23" t="s">
        <v>11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J23" t="s">
        <v>11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</row>
    <row r="24" spans="1:22" x14ac:dyDescent="0.3">
      <c r="A24" t="s">
        <v>12</v>
      </c>
      <c r="B24" s="4">
        <f>-B7</f>
        <v>-35</v>
      </c>
      <c r="C24" s="4">
        <f>B24</f>
        <v>-35</v>
      </c>
      <c r="D24" s="4">
        <f t="shared" ref="D24:H24" si="22">C24</f>
        <v>-35</v>
      </c>
      <c r="E24" s="4">
        <f t="shared" si="22"/>
        <v>-35</v>
      </c>
      <c r="F24" s="4">
        <f t="shared" si="22"/>
        <v>-35</v>
      </c>
      <c r="G24" s="4">
        <f t="shared" si="22"/>
        <v>-35</v>
      </c>
      <c r="H24" s="4">
        <f t="shared" si="22"/>
        <v>-35</v>
      </c>
      <c r="J24" t="s">
        <v>12</v>
      </c>
      <c r="K24" s="4">
        <f>-K7</f>
        <v>-40</v>
      </c>
      <c r="L24" s="4">
        <f>K24</f>
        <v>-40</v>
      </c>
      <c r="M24" s="4">
        <f t="shared" ref="M24:Q24" si="23">L24</f>
        <v>-40</v>
      </c>
      <c r="N24" s="4">
        <f t="shared" si="23"/>
        <v>-40</v>
      </c>
      <c r="O24" s="4">
        <f t="shared" si="23"/>
        <v>-40</v>
      </c>
      <c r="P24" s="4">
        <f t="shared" si="23"/>
        <v>-40</v>
      </c>
      <c r="Q24" s="4">
        <f t="shared" si="23"/>
        <v>-40</v>
      </c>
    </row>
    <row r="25" spans="1:22" x14ac:dyDescent="0.3">
      <c r="K25" s="4"/>
      <c r="L25" s="4"/>
      <c r="M25" s="4"/>
      <c r="N25" s="4"/>
      <c r="O25" s="4"/>
      <c r="P25" s="4"/>
      <c r="Q25" s="4"/>
    </row>
    <row r="26" spans="1:22" x14ac:dyDescent="0.3">
      <c r="A26" t="s">
        <v>50</v>
      </c>
      <c r="B26" s="4">
        <f t="shared" ref="B26:H26" si="24">B21*B23-B22*B24</f>
        <v>14.907881277309984</v>
      </c>
      <c r="C26" s="4">
        <f t="shared" si="24"/>
        <v>14.519744781266654</v>
      </c>
      <c r="D26" s="4">
        <f t="shared" si="24"/>
        <v>13.342554993624407</v>
      </c>
      <c r="E26" s="4">
        <f t="shared" si="24"/>
        <v>11.341505993820391</v>
      </c>
      <c r="F26" s="4">
        <f t="shared" si="24"/>
        <v>8.470606277147894</v>
      </c>
      <c r="G26" s="4">
        <f t="shared" si="24"/>
        <v>4.6913926334099632</v>
      </c>
      <c r="H26" s="4">
        <f t="shared" si="24"/>
        <v>0</v>
      </c>
      <c r="J26" t="s">
        <v>50</v>
      </c>
      <c r="K26" s="4">
        <f t="shared" ref="K26:Q26" si="25">K21*K23-K22*K24</f>
        <v>0</v>
      </c>
      <c r="L26" s="4">
        <f t="shared" si="25"/>
        <v>3.4332704270751742</v>
      </c>
      <c r="M26" s="4">
        <f t="shared" si="25"/>
        <v>6.2245997109422415</v>
      </c>
      <c r="N26" s="4">
        <f t="shared" si="25"/>
        <v>8.3750684834397457</v>
      </c>
      <c r="O26" s="4">
        <f t="shared" si="25"/>
        <v>9.8961583701809168</v>
      </c>
      <c r="P26" s="4">
        <f t="shared" si="25"/>
        <v>10.801712668743402</v>
      </c>
      <c r="Q26" s="4">
        <f t="shared" si="25"/>
        <v>11.102270065853453</v>
      </c>
    </row>
    <row r="27" spans="1:22" x14ac:dyDescent="0.3">
      <c r="A27" t="s">
        <v>51</v>
      </c>
      <c r="B27" s="4">
        <f t="shared" ref="B27:H27" si="26">B22*B23+B21*B24</f>
        <v>-31.666308212698723</v>
      </c>
      <c r="C27" s="4">
        <f t="shared" si="26"/>
        <v>-31.846145944005215</v>
      </c>
      <c r="D27" s="4">
        <f t="shared" si="26"/>
        <v>-32.3570120104145</v>
      </c>
      <c r="E27" s="4">
        <f t="shared" si="26"/>
        <v>-33.111482023493544</v>
      </c>
      <c r="F27" s="4">
        <f t="shared" si="26"/>
        <v>-33.959517506842509</v>
      </c>
      <c r="G27" s="4">
        <f t="shared" si="26"/>
        <v>-34.684158273759316</v>
      </c>
      <c r="H27" s="4">
        <f t="shared" si="26"/>
        <v>-35</v>
      </c>
      <c r="J27" t="s">
        <v>51</v>
      </c>
      <c r="K27" s="4">
        <f t="shared" ref="K27:Q27" si="27">K22*K23+K21*K24</f>
        <v>-40</v>
      </c>
      <c r="L27" s="4">
        <f t="shared" si="27"/>
        <v>-39.852385802791922</v>
      </c>
      <c r="M27" s="4">
        <f t="shared" si="27"/>
        <v>-39.512711352658876</v>
      </c>
      <c r="N27" s="4">
        <f t="shared" si="27"/>
        <v>-39.113402151918393</v>
      </c>
      <c r="O27" s="4">
        <f t="shared" si="27"/>
        <v>-38.756496868425792</v>
      </c>
      <c r="P27" s="4">
        <f t="shared" si="27"/>
        <v>-38.513932588375191</v>
      </c>
      <c r="Q27" s="4">
        <f t="shared" si="27"/>
        <v>-38.428369720622477</v>
      </c>
    </row>
    <row r="28" spans="1:22" x14ac:dyDescent="0.3">
      <c r="A28" t="s">
        <v>52</v>
      </c>
      <c r="B28" s="4">
        <f>B2+B26</f>
        <v>14.907881277309984</v>
      </c>
      <c r="C28" s="4">
        <f>C2+C26</f>
        <v>39.519744781266652</v>
      </c>
      <c r="D28" s="4">
        <f>D2+D26</f>
        <v>63.342554993624404</v>
      </c>
      <c r="E28" s="4">
        <f>E2+E26</f>
        <v>86.341505993820391</v>
      </c>
      <c r="F28" s="4">
        <f>F2+F26</f>
        <v>108.47060627714789</v>
      </c>
      <c r="G28" s="4">
        <f>G2+G26</f>
        <v>129.69139263340998</v>
      </c>
      <c r="H28" s="4">
        <f>H2+H26</f>
        <v>150</v>
      </c>
      <c r="J28" t="s">
        <v>52</v>
      </c>
      <c r="K28" s="4">
        <f>K2+K26</f>
        <v>0</v>
      </c>
      <c r="L28" s="4">
        <f>L2+L26</f>
        <v>53.433270427075172</v>
      </c>
      <c r="M28" s="4">
        <f>M2+M26</f>
        <v>106.22459971094224</v>
      </c>
      <c r="N28" s="4">
        <f>N2+N26</f>
        <v>158.37506848343975</v>
      </c>
      <c r="O28" s="4">
        <f>O2+O26</f>
        <v>209.89615837018093</v>
      </c>
      <c r="P28" s="4">
        <f>P2+P26</f>
        <v>260.80171266874339</v>
      </c>
      <c r="Q28" s="4">
        <f>Q2+Q26</f>
        <v>311.10227006585347</v>
      </c>
    </row>
    <row r="29" spans="1:22" x14ac:dyDescent="0.3">
      <c r="A29" t="s">
        <v>53</v>
      </c>
      <c r="B29" s="4">
        <f>B3+B27</f>
        <v>-31.666308212698723</v>
      </c>
      <c r="C29" s="4">
        <f>C3+C27</f>
        <v>-20.94799779585707</v>
      </c>
      <c r="D29" s="4">
        <f>D3+D27</f>
        <v>-11.171826825229317</v>
      </c>
      <c r="E29" s="4">
        <f>E3+E27</f>
        <v>-2.8614820234935507</v>
      </c>
      <c r="F29" s="4">
        <f>F3+F27</f>
        <v>3.5219639746389646</v>
      </c>
      <c r="G29" s="4">
        <f>G3+G27</f>
        <v>7.5843602447591962</v>
      </c>
      <c r="H29" s="4">
        <f>H3+H27</f>
        <v>8.9999999999999858</v>
      </c>
      <c r="J29" t="s">
        <v>53</v>
      </c>
      <c r="K29" s="4">
        <f>K3+K27</f>
        <v>-40</v>
      </c>
      <c r="L29" s="4">
        <f>L3+L27</f>
        <v>-37.638844136125257</v>
      </c>
      <c r="M29" s="4">
        <f>M3+M27</f>
        <v>-31.17937801932554</v>
      </c>
      <c r="N29" s="4">
        <f>N3+N27</f>
        <v>-21.535277151918393</v>
      </c>
      <c r="O29" s="4">
        <f>O3+O27</f>
        <v>-9.5898302017591277</v>
      </c>
      <c r="P29" s="4">
        <f>P3+P27</f>
        <v>3.8037757449581378</v>
      </c>
      <c r="Q29" s="4">
        <f>Q3+Q27</f>
        <v>17.821630279377523</v>
      </c>
    </row>
    <row r="32" spans="1:22" x14ac:dyDescent="0.3">
      <c r="E32" s="4" t="s">
        <v>54</v>
      </c>
      <c r="F32" s="4" t="s">
        <v>57</v>
      </c>
      <c r="G32" s="4" t="s">
        <v>55</v>
      </c>
      <c r="H32" s="4" t="s">
        <v>56</v>
      </c>
      <c r="J32" s="4" t="s">
        <v>66</v>
      </c>
      <c r="K32" s="4" t="s">
        <v>67</v>
      </c>
      <c r="L32" s="4" t="s">
        <v>68</v>
      </c>
      <c r="O32" s="4" t="s">
        <v>54</v>
      </c>
      <c r="P32" s="4" t="s">
        <v>57</v>
      </c>
      <c r="Q32" s="4" t="s">
        <v>55</v>
      </c>
      <c r="R32" s="4" t="s">
        <v>56</v>
      </c>
      <c r="T32" s="4"/>
    </row>
    <row r="33" spans="1:18" x14ac:dyDescent="0.3">
      <c r="A33">
        <v>10</v>
      </c>
      <c r="J33">
        <v>0</v>
      </c>
      <c r="K33">
        <v>0</v>
      </c>
      <c r="L33">
        <v>0</v>
      </c>
      <c r="O33" s="4"/>
      <c r="P33" s="4"/>
      <c r="Q33" s="4"/>
      <c r="R33" s="4"/>
    </row>
    <row r="34" spans="1:18" x14ac:dyDescent="0.3">
      <c r="A34">
        <v>9</v>
      </c>
      <c r="J34">
        <v>2000</v>
      </c>
      <c r="K34">
        <v>2.0990000000000002</v>
      </c>
      <c r="L34">
        <v>1.5</v>
      </c>
      <c r="O34" s="4"/>
      <c r="P34" s="4"/>
      <c r="Q34" s="4"/>
      <c r="R34" s="4"/>
    </row>
    <row r="35" spans="1:18" x14ac:dyDescent="0.3">
      <c r="A35">
        <v>8</v>
      </c>
      <c r="J35">
        <v>4000</v>
      </c>
      <c r="K35">
        <v>4.1980000000000004</v>
      </c>
      <c r="L35">
        <v>4.5</v>
      </c>
      <c r="O35" s="4"/>
      <c r="P35" s="4"/>
      <c r="Q35" s="4"/>
      <c r="R35" s="4"/>
    </row>
    <row r="36" spans="1:18" x14ac:dyDescent="0.3">
      <c r="A36">
        <v>7</v>
      </c>
      <c r="B36" s="4">
        <v>16.329999999999998</v>
      </c>
      <c r="D36" s="4">
        <f>(E36*15/14/2)*(B6*B7/2)*(B7/3)*2</f>
        <v>-3143525</v>
      </c>
      <c r="E36" s="4">
        <f>-$H$9*$H$10/4/$H$8*B36</f>
        <v>-479.01333333333326</v>
      </c>
      <c r="F36" s="4">
        <f>E36*$B$6*($B$7/(2*$A$36+1))*B36</f>
        <v>-547560.14133333322</v>
      </c>
      <c r="G36" s="4">
        <v>-116.11</v>
      </c>
      <c r="H36" s="4">
        <f>G36*$B$6*($B$7/(2*$A$36+1))*B36</f>
        <v>-132725.34099999999</v>
      </c>
      <c r="J36">
        <v>6000</v>
      </c>
      <c r="K36">
        <v>6.2969999999999997</v>
      </c>
      <c r="L36">
        <v>6</v>
      </c>
      <c r="O36" s="4">
        <f>-$H$9*$H$10/8/$H$8*B36</f>
        <v>-239.50666666666663</v>
      </c>
      <c r="P36" s="4">
        <f>O36*$B$6*($B$7/(2*$A$36+1))*B36</f>
        <v>-273780.07066666661</v>
      </c>
      <c r="Q36" s="4">
        <v>-56.85</v>
      </c>
      <c r="R36" s="4">
        <f>Q36*$B$6*($B$7/(2*$A$36+1))*B36</f>
        <v>-64985.235000000001</v>
      </c>
    </row>
    <row r="37" spans="1:18" x14ac:dyDescent="0.3">
      <c r="A37">
        <v>6</v>
      </c>
      <c r="B37" s="4">
        <v>14</v>
      </c>
      <c r="E37" s="4">
        <f t="shared" ref="E37:E50" si="28">-$H$9*$H$10/4/$H$8*B37</f>
        <v>-410.66666666666663</v>
      </c>
      <c r="F37" s="4">
        <f>E37*$B$6*($B$7/(2*$A$36+1))*B37</f>
        <v>-402453.33333333331</v>
      </c>
      <c r="G37" s="4">
        <v>-99.31</v>
      </c>
      <c r="H37" s="4">
        <f>G37*$B$6*($B$7/(2*$A$36+1))*B37</f>
        <v>-97323.800000000017</v>
      </c>
      <c r="I37" s="7"/>
      <c r="J37">
        <v>8000</v>
      </c>
      <c r="K37">
        <v>8.3970000000000002</v>
      </c>
      <c r="L37">
        <v>8.5</v>
      </c>
      <c r="O37" s="4">
        <f t="shared" ref="O37:O50" si="29">-$H$9*$H$10/8/$H$8*B37</f>
        <v>-205.33333333333331</v>
      </c>
      <c r="P37" s="4">
        <f>O37*$B$6*($B$7/(2*$A$36+1))*B37</f>
        <v>-201226.66666666666</v>
      </c>
      <c r="Q37" s="4">
        <v>-50.07</v>
      </c>
      <c r="R37" s="4">
        <f>Q37*$B$6*($B$7/(2*$A$36+1))*B37</f>
        <v>-49068.6</v>
      </c>
    </row>
    <row r="38" spans="1:18" x14ac:dyDescent="0.3">
      <c r="A38">
        <v>5</v>
      </c>
      <c r="B38" s="4">
        <v>11.67</v>
      </c>
      <c r="E38" s="4">
        <f t="shared" si="28"/>
        <v>-342.32</v>
      </c>
      <c r="F38" s="4">
        <f>E38*$B$6*($B$7/(2*$A$36+1))*B38</f>
        <v>-279641.20800000004</v>
      </c>
      <c r="G38" s="4">
        <v>-81.849999999999994</v>
      </c>
      <c r="H38" s="4">
        <f>G38*$B$6*($B$7/(2*$A$36+1))*B38</f>
        <v>-66863.264999999999</v>
      </c>
      <c r="J38">
        <v>10000</v>
      </c>
      <c r="K38">
        <v>10.496</v>
      </c>
      <c r="L38">
        <v>10.5</v>
      </c>
      <c r="O38" s="4">
        <f t="shared" si="29"/>
        <v>-171.16</v>
      </c>
      <c r="P38" s="4">
        <f>O38*$B$6*($B$7/(2*$A$36+1))*B38</f>
        <v>-139820.60400000002</v>
      </c>
      <c r="Q38" s="4">
        <v>-40.799999999999997</v>
      </c>
      <c r="R38" s="4">
        <f>Q38*$B$6*($B$7/(2*$A$36+1))*B38</f>
        <v>-33329.519999999997</v>
      </c>
    </row>
    <row r="39" spans="1:18" x14ac:dyDescent="0.3">
      <c r="A39">
        <v>4</v>
      </c>
      <c r="B39" s="4">
        <v>9.33</v>
      </c>
      <c r="E39" s="4">
        <f t="shared" si="28"/>
        <v>-273.68</v>
      </c>
      <c r="F39" s="4">
        <f>E39*$B$6*($B$7/(2*$A$36+1))*B39</f>
        <v>-178740.40800000002</v>
      </c>
      <c r="G39" s="4">
        <v>-65.88</v>
      </c>
      <c r="H39" s="4">
        <f>G39*$B$6*($B$7/(2*$A$36+1))*B39</f>
        <v>-43026.228000000003</v>
      </c>
      <c r="O39" s="4">
        <f t="shared" si="29"/>
        <v>-136.84</v>
      </c>
      <c r="P39" s="4">
        <f>O39*$B$6*($B$7/(2*$A$36+1))*B39</f>
        <v>-89370.204000000012</v>
      </c>
      <c r="Q39" s="4">
        <v>-32.409999999999997</v>
      </c>
      <c r="R39" s="4">
        <f>Q39*$B$6*($B$7/(2*$A$36+1))*B39</f>
        <v>-21166.970999999998</v>
      </c>
    </row>
    <row r="40" spans="1:18" x14ac:dyDescent="0.3">
      <c r="A40">
        <v>3</v>
      </c>
      <c r="B40" s="4">
        <v>7</v>
      </c>
      <c r="E40" s="4">
        <f t="shared" si="28"/>
        <v>-205.33333333333331</v>
      </c>
      <c r="F40" s="4">
        <f>E40*$B$6*($B$7/(2*$A$36+1))*B40</f>
        <v>-100613.33333333333</v>
      </c>
      <c r="G40" s="4">
        <v>-49.51</v>
      </c>
      <c r="H40" s="4">
        <f>G40*$B$6*($B$7/(2*$A$36+1))*B40</f>
        <v>-24259.9</v>
      </c>
      <c r="O40" s="4">
        <f t="shared" si="29"/>
        <v>-102.66666666666666</v>
      </c>
      <c r="P40" s="4">
        <f>O40*$B$6*($B$7/(2*$A$36+1))*B40</f>
        <v>-50306.666666666664</v>
      </c>
      <c r="Q40" s="4">
        <v>-24.47</v>
      </c>
      <c r="R40" s="4">
        <f>Q40*$B$6*($B$7/(2*$A$36+1))*B40</f>
        <v>-11990.3</v>
      </c>
    </row>
    <row r="41" spans="1:18" x14ac:dyDescent="0.3">
      <c r="A41">
        <v>2</v>
      </c>
      <c r="B41" s="4">
        <v>4.67</v>
      </c>
      <c r="E41" s="4">
        <f t="shared" si="28"/>
        <v>-136.98666666666665</v>
      </c>
      <c r="F41" s="4">
        <f>E41*$B$6*($B$7/(2*$A$36+1))*B41</f>
        <v>-44780.941333333329</v>
      </c>
      <c r="G41" s="4">
        <v>-31.86</v>
      </c>
      <c r="H41" s="4">
        <f>G41*$B$6*($B$7/(2*$A$36+1))*B41</f>
        <v>-10415.034</v>
      </c>
      <c r="O41" s="4">
        <f t="shared" si="29"/>
        <v>-68.493333333333325</v>
      </c>
      <c r="P41" s="4">
        <f>O41*$B$6*($B$7/(2*$A$36+1))*B41</f>
        <v>-22390.470666666664</v>
      </c>
      <c r="Q41" s="4">
        <v>-16.37</v>
      </c>
      <c r="R41" s="4">
        <f>Q41*$B$6*($B$7/(2*$A$36+1))*B41</f>
        <v>-5351.3530000000001</v>
      </c>
    </row>
    <row r="42" spans="1:18" x14ac:dyDescent="0.3">
      <c r="A42">
        <v>1</v>
      </c>
      <c r="B42" s="4">
        <v>2.33</v>
      </c>
      <c r="E42" s="4">
        <f t="shared" si="28"/>
        <v>-68.346666666666664</v>
      </c>
      <c r="F42" s="4">
        <f>E42*$B$6*($B$7/(2*$A$36+1))*B42</f>
        <v>-11147.341333333336</v>
      </c>
      <c r="G42" s="4">
        <v>-16.39</v>
      </c>
      <c r="H42" s="4">
        <f>G42*$B$6*($B$7/(2*$A$36+1))*B42</f>
        <v>-2673.2090000000003</v>
      </c>
      <c r="O42" s="4">
        <f t="shared" si="29"/>
        <v>-34.173333333333332</v>
      </c>
      <c r="P42" s="4">
        <f>O42*$B$6*($B$7/(2*$A$36+1))*B42</f>
        <v>-5573.6706666666678</v>
      </c>
      <c r="Q42" s="4">
        <v>-8.08</v>
      </c>
      <c r="R42" s="4">
        <f>Q42*$B$6*($B$7/(2*$A$36+1))*B42</f>
        <v>-1317.8480000000002</v>
      </c>
    </row>
    <row r="43" spans="1:18" x14ac:dyDescent="0.3">
      <c r="A43">
        <v>0</v>
      </c>
      <c r="B43" s="4">
        <v>0</v>
      </c>
      <c r="E43" s="4">
        <f t="shared" si="28"/>
        <v>0</v>
      </c>
      <c r="F43" s="4">
        <f>E43*$B$6*($B$7/(2*$A$36+1))*B43</f>
        <v>0</v>
      </c>
      <c r="G43" s="4">
        <v>0</v>
      </c>
      <c r="H43" s="4">
        <f>G43*$B$6*($B$7/(2*$A$36+1))*B43</f>
        <v>0</v>
      </c>
      <c r="O43" s="4">
        <f t="shared" si="29"/>
        <v>0</v>
      </c>
      <c r="P43" s="4">
        <f>O43*$B$6*($B$7/(2*$A$36+1))*B43</f>
        <v>0</v>
      </c>
      <c r="Q43" s="4">
        <v>0</v>
      </c>
      <c r="R43" s="4">
        <f>Q43*$B$6*($B$7/(2*$A$36+1))*B43</f>
        <v>0</v>
      </c>
    </row>
    <row r="44" spans="1:18" x14ac:dyDescent="0.3">
      <c r="B44" s="4">
        <f>-B42</f>
        <v>-2.33</v>
      </c>
      <c r="E44" s="4">
        <f t="shared" si="28"/>
        <v>68.346666666666664</v>
      </c>
      <c r="F44" s="4">
        <f>E44*$B$6*($B$7/(2*$A$36+1))*B44</f>
        <v>-11147.341333333336</v>
      </c>
      <c r="G44" s="4">
        <v>16.350000000000001</v>
      </c>
      <c r="H44" s="4">
        <f>G44*$B$6*($B$7/(2*$A$36+1))*B44</f>
        <v>-2666.6850000000004</v>
      </c>
      <c r="O44" s="4">
        <f t="shared" si="29"/>
        <v>34.173333333333332</v>
      </c>
      <c r="P44" s="4">
        <f>O44*$B$6*($B$7/(2*$A$36+1))*B44</f>
        <v>-5573.6706666666678</v>
      </c>
      <c r="Q44" s="4">
        <v>8.36</v>
      </c>
      <c r="R44" s="4">
        <f>Q44*$B$6*($B$7/(2*$A$36+1))*B44</f>
        <v>-1363.5160000000001</v>
      </c>
    </row>
    <row r="45" spans="1:18" x14ac:dyDescent="0.3">
      <c r="B45" s="4">
        <f>-B41</f>
        <v>-4.67</v>
      </c>
      <c r="E45" s="4">
        <f t="shared" si="28"/>
        <v>136.98666666666665</v>
      </c>
      <c r="F45" s="4">
        <f>E45*$B$6*($B$7/(2*$A$36+1))*B45</f>
        <v>-44780.941333333329</v>
      </c>
      <c r="G45" s="4">
        <v>31.93</v>
      </c>
      <c r="H45" s="4">
        <f>G45*$B$6*($B$7/(2*$A$36+1))*B45</f>
        <v>-10437.916999999999</v>
      </c>
      <c r="O45" s="4">
        <f t="shared" si="29"/>
        <v>68.493333333333325</v>
      </c>
      <c r="P45" s="4">
        <f>O45*$B$6*($B$7/(2*$A$36+1))*B45</f>
        <v>-22390.470666666664</v>
      </c>
      <c r="Q45" s="4">
        <v>15.96</v>
      </c>
      <c r="R45" s="4">
        <f>Q45*$B$6*($B$7/(2*$A$36+1))*B45</f>
        <v>-5217.3240000000005</v>
      </c>
    </row>
    <row r="46" spans="1:18" x14ac:dyDescent="0.3">
      <c r="B46" s="4">
        <f>-B40</f>
        <v>-7</v>
      </c>
      <c r="E46" s="4">
        <f t="shared" si="28"/>
        <v>205.33333333333331</v>
      </c>
      <c r="F46" s="4">
        <f>E46*$B$6*($B$7/(2*$A$36+1))*B46</f>
        <v>-100613.33333333333</v>
      </c>
      <c r="G46" s="4">
        <v>49.65</v>
      </c>
      <c r="H46" s="4">
        <f>G46*$B$6*($B$7/(2*$A$36+1))*B46</f>
        <v>-24328.5</v>
      </c>
      <c r="O46" s="4">
        <f t="shared" si="29"/>
        <v>102.66666666666666</v>
      </c>
      <c r="P46" s="4">
        <f>O46*$B$6*($B$7/(2*$A$36+1))*B46</f>
        <v>-50306.666666666664</v>
      </c>
      <c r="Q46" s="4">
        <v>24.55</v>
      </c>
      <c r="R46" s="4">
        <f>Q46*$B$6*($B$7/(2*$A$36+1))*B46</f>
        <v>-12029.5</v>
      </c>
    </row>
    <row r="47" spans="1:18" x14ac:dyDescent="0.3">
      <c r="B47" s="4">
        <f>-B39</f>
        <v>-9.33</v>
      </c>
      <c r="E47" s="4">
        <f t="shared" si="28"/>
        <v>273.68</v>
      </c>
      <c r="F47" s="4">
        <f>E47*$B$6*($B$7/(2*$A$36+1))*B47</f>
        <v>-178740.40800000002</v>
      </c>
      <c r="G47" s="4">
        <v>64.17</v>
      </c>
      <c r="H47" s="4">
        <f>G47*$B$6*($B$7/(2*$A$36+1))*B47</f>
        <v>-41909.427000000003</v>
      </c>
      <c r="O47" s="4">
        <f t="shared" si="29"/>
        <v>136.84</v>
      </c>
      <c r="P47" s="4">
        <f>O47*$B$6*($B$7/(2*$A$36+1))*B47</f>
        <v>-89370.204000000012</v>
      </c>
      <c r="Q47" s="4">
        <v>31.95</v>
      </c>
      <c r="R47" s="4">
        <f>Q47*$B$6*($B$7/(2*$A$36+1))*B47</f>
        <v>-20866.545000000002</v>
      </c>
    </row>
    <row r="48" spans="1:18" x14ac:dyDescent="0.3">
      <c r="B48" s="4">
        <f>-B38</f>
        <v>-11.67</v>
      </c>
      <c r="E48" s="4">
        <f t="shared" si="28"/>
        <v>342.32</v>
      </c>
      <c r="F48" s="4">
        <f>E48*$B$6*($B$7/(2*$A$36+1))*B48</f>
        <v>-279641.20800000004</v>
      </c>
      <c r="G48" s="4">
        <v>82.01</v>
      </c>
      <c r="H48" s="4">
        <f>G48*$B$6*($B$7/(2*$A$36+1))*B48</f>
        <v>-66993.969000000012</v>
      </c>
      <c r="O48" s="4">
        <f t="shared" si="29"/>
        <v>171.16</v>
      </c>
      <c r="P48" s="4">
        <f>O48*$B$6*($B$7/(2*$A$36+1))*B48</f>
        <v>-139820.60400000002</v>
      </c>
      <c r="Q48" s="4">
        <v>40.82</v>
      </c>
      <c r="R48" s="4">
        <f>Q48*$B$6*($B$7/(2*$A$36+1))*B48</f>
        <v>-33345.858</v>
      </c>
    </row>
    <row r="49" spans="2:18" x14ac:dyDescent="0.3">
      <c r="B49" s="4">
        <f>-B37</f>
        <v>-14</v>
      </c>
      <c r="E49" s="4">
        <f t="shared" si="28"/>
        <v>410.66666666666663</v>
      </c>
      <c r="F49" s="4">
        <f>E49*$B$6*($B$7/(2*$A$36+1))*B49</f>
        <v>-402453.33333333331</v>
      </c>
      <c r="G49" s="4">
        <v>99.62</v>
      </c>
      <c r="H49" s="4">
        <f>G49*$B$6*($B$7/(2*$A$36+1))*B49</f>
        <v>-97627.60000000002</v>
      </c>
      <c r="O49" s="4">
        <f t="shared" si="29"/>
        <v>205.33333333333331</v>
      </c>
      <c r="P49" s="4">
        <f>O49*$B$6*($B$7/(2*$A$36+1))*B49</f>
        <v>-201226.66666666666</v>
      </c>
      <c r="Q49" s="4">
        <v>49.88</v>
      </c>
      <c r="R49" s="4">
        <f>Q49*$B$6*($B$7/(2*$A$36+1))*B49</f>
        <v>-48882.400000000009</v>
      </c>
    </row>
    <row r="50" spans="2:18" x14ac:dyDescent="0.3">
      <c r="B50" s="4">
        <f>-B36</f>
        <v>-16.329999999999998</v>
      </c>
      <c r="E50" s="4">
        <f t="shared" si="28"/>
        <v>479.01333333333326</v>
      </c>
      <c r="F50" s="4">
        <f>E50*$B$6*($B$7/(2*$A$36+1))*B50</f>
        <v>-547560.14133333322</v>
      </c>
      <c r="G50" s="4">
        <v>113.52</v>
      </c>
      <c r="H50" s="4">
        <f>G50*$B$6*($B$7/(2*$A$36+1))*B50</f>
        <v>-129764.712</v>
      </c>
      <c r="O50" s="4">
        <f t="shared" si="29"/>
        <v>239.50666666666663</v>
      </c>
      <c r="P50" s="4">
        <f>O50*$B$6*($B$7/(2*$A$36+1))*B50</f>
        <v>-273780.07066666661</v>
      </c>
      <c r="Q50" s="4">
        <v>57.96</v>
      </c>
      <c r="R50" s="4">
        <f>Q50*$B$6*($B$7/(2*$A$36+1))*B50</f>
        <v>-66254.076000000001</v>
      </c>
    </row>
    <row r="51" spans="2:18" x14ac:dyDescent="0.3">
      <c r="B51" s="4">
        <f>-B35</f>
        <v>0</v>
      </c>
    </row>
    <row r="52" spans="2:18" x14ac:dyDescent="0.3">
      <c r="B52" s="4">
        <f>-B34</f>
        <v>0</v>
      </c>
    </row>
    <row r="53" spans="2:18" x14ac:dyDescent="0.3">
      <c r="B53" s="4">
        <f>-B33</f>
        <v>0</v>
      </c>
    </row>
    <row r="54" spans="2:18" x14ac:dyDescent="0.3">
      <c r="E54" s="4">
        <f>($B$9*$B$10/4)</f>
        <v>3144166.6666666665</v>
      </c>
      <c r="F54" s="4">
        <f>SUM(F33:F53)</f>
        <v>-3129873.4133333331</v>
      </c>
      <c r="H54" s="4">
        <f>SUM(H33:H53)</f>
        <v>-751015.58700000006</v>
      </c>
      <c r="O54" s="4">
        <f>($B$9*$B$10/8)</f>
        <v>1572083.3333333333</v>
      </c>
      <c r="P54" s="4">
        <f>SUM(P33:P53)</f>
        <v>-1564936.7066666665</v>
      </c>
      <c r="Q54" s="4"/>
      <c r="R54" s="4">
        <f>SUM(R33:R53)</f>
        <v>-375169.04599999997</v>
      </c>
    </row>
    <row r="62" spans="2:18" x14ac:dyDescent="0.3">
      <c r="Q62" s="9" t="s">
        <v>58</v>
      </c>
    </row>
  </sheetData>
  <mergeCells count="2">
    <mergeCell ref="A1:H1"/>
    <mergeCell ref="J1:Q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topLeftCell="A28" zoomScale="85" zoomScaleNormal="85" workbookViewId="0">
      <selection activeCell="O2" sqref="O2"/>
    </sheetView>
  </sheetViews>
  <sheetFormatPr defaultRowHeight="16.5" x14ac:dyDescent="0.3"/>
  <cols>
    <col min="2" max="3" width="12.75" style="4" customWidth="1"/>
    <col min="4" max="4" width="12.875" style="4" customWidth="1"/>
    <col min="5" max="5" width="14" style="4" customWidth="1"/>
    <col min="6" max="8" width="12.75" style="4" customWidth="1"/>
    <col min="9" max="16" width="12.75" customWidth="1"/>
    <col min="17" max="30" width="12.875" customWidth="1"/>
  </cols>
  <sheetData>
    <row r="1" spans="1:26" x14ac:dyDescent="0.3">
      <c r="A1" s="13" t="s">
        <v>30</v>
      </c>
      <c r="B1" s="13"/>
      <c r="C1" s="13"/>
      <c r="D1" s="13"/>
      <c r="E1" s="13"/>
      <c r="F1" s="13"/>
      <c r="G1" s="13"/>
      <c r="H1" s="13"/>
      <c r="J1" s="13"/>
      <c r="K1" s="13"/>
      <c r="L1" s="13"/>
      <c r="M1" s="13"/>
      <c r="N1" s="13"/>
      <c r="O1" s="13"/>
      <c r="P1" s="13"/>
      <c r="Q1" s="13"/>
    </row>
    <row r="2" spans="1:26" x14ac:dyDescent="0.3">
      <c r="A2" s="18" t="s">
        <v>79</v>
      </c>
      <c r="B2" s="4">
        <f>5000</f>
        <v>5000</v>
      </c>
      <c r="C2" s="18" t="s">
        <v>80</v>
      </c>
      <c r="D2" s="4">
        <v>30</v>
      </c>
      <c r="E2" s="18" t="s">
        <v>81</v>
      </c>
      <c r="F2" s="4">
        <v>35</v>
      </c>
      <c r="G2" s="18" t="s">
        <v>82</v>
      </c>
      <c r="H2" s="4">
        <f>D2*F2^3/12</f>
        <v>107187.5</v>
      </c>
      <c r="I2" s="18" t="s">
        <v>83</v>
      </c>
      <c r="J2" s="4">
        <v>300</v>
      </c>
      <c r="K2" s="19" t="s">
        <v>84</v>
      </c>
      <c r="L2" s="4">
        <f>B2/20</f>
        <v>250</v>
      </c>
      <c r="M2" s="19" t="s">
        <v>85</v>
      </c>
      <c r="N2" s="4">
        <f>L2/B2</f>
        <v>0.05</v>
      </c>
      <c r="O2" s="4"/>
      <c r="P2" s="4"/>
      <c r="Q2" s="4"/>
    </row>
    <row r="3" spans="1:26" x14ac:dyDescent="0.3">
      <c r="I3" s="5"/>
      <c r="K3" s="4"/>
      <c r="L3" s="4"/>
      <c r="M3" s="4"/>
      <c r="N3" s="4"/>
      <c r="O3" s="4"/>
      <c r="P3" s="4"/>
      <c r="Q3" s="4"/>
    </row>
    <row r="4" spans="1:26" x14ac:dyDescent="0.3">
      <c r="I4" s="5"/>
      <c r="K4" s="4"/>
      <c r="L4" s="4"/>
      <c r="M4" s="4"/>
      <c r="N4" s="4"/>
      <c r="O4" s="4"/>
      <c r="P4" s="4"/>
      <c r="Q4" s="4"/>
    </row>
    <row r="5" spans="1:26" x14ac:dyDescent="0.3">
      <c r="B5" s="16" t="s">
        <v>75</v>
      </c>
      <c r="C5" s="4" t="s">
        <v>73</v>
      </c>
      <c r="D5" s="11">
        <f>D6*$J$2/4</f>
        <v>357291.66666666663</v>
      </c>
      <c r="E5" s="4" t="s">
        <v>73</v>
      </c>
      <c r="F5" s="11">
        <f>F6*$J$2/4</f>
        <v>714583.33333333326</v>
      </c>
      <c r="G5" s="4" t="s">
        <v>73</v>
      </c>
      <c r="H5" s="11">
        <f>H6*$J$2/4</f>
        <v>1071875</v>
      </c>
      <c r="I5" s="4" t="s">
        <v>73</v>
      </c>
      <c r="J5" s="11">
        <f>J6*$J$2/4</f>
        <v>1429166.6666666665</v>
      </c>
      <c r="K5" s="4" t="s">
        <v>73</v>
      </c>
      <c r="L5" s="11">
        <f>L6*$J$2/4</f>
        <v>1786458.3333333335</v>
      </c>
      <c r="M5" s="4" t="s">
        <v>73</v>
      </c>
      <c r="N5" s="11">
        <f>N6*$J$2/4</f>
        <v>2143750</v>
      </c>
      <c r="O5" s="4" t="s">
        <v>73</v>
      </c>
      <c r="P5" s="11">
        <f>P6*$J$2/4</f>
        <v>2501041.6666666665</v>
      </c>
      <c r="Q5" s="4" t="s">
        <v>73</v>
      </c>
      <c r="R5" s="11">
        <f>R6*$J$2/4</f>
        <v>2858333.333333333</v>
      </c>
      <c r="S5" s="4" t="s">
        <v>73</v>
      </c>
      <c r="T5" s="11">
        <f>T6*$J$2/4</f>
        <v>3215625</v>
      </c>
      <c r="U5" s="4" t="s">
        <v>73</v>
      </c>
      <c r="V5" s="11">
        <f>V6*$J$2/4</f>
        <v>3572916.666666667</v>
      </c>
      <c r="X5" s="4" t="s">
        <v>66</v>
      </c>
      <c r="Y5" s="4" t="s">
        <v>67</v>
      </c>
      <c r="Z5" s="4" t="s">
        <v>68</v>
      </c>
    </row>
    <row r="6" spans="1:26" x14ac:dyDescent="0.3">
      <c r="B6" s="16"/>
      <c r="C6" s="4" t="s">
        <v>71</v>
      </c>
      <c r="D6" s="11">
        <f>D7*48*$B$2*$H$2/$J$2^3</f>
        <v>4763.8888888888887</v>
      </c>
      <c r="E6" s="4" t="s">
        <v>71</v>
      </c>
      <c r="F6" s="11">
        <f>F7*48*$B$2*$H$2/$J$2^3</f>
        <v>9527.7777777777774</v>
      </c>
      <c r="G6" s="4" t="s">
        <v>71</v>
      </c>
      <c r="H6" s="11">
        <f>H7*48*$B$2*$H$2/$J$2^3</f>
        <v>14291.666666666666</v>
      </c>
      <c r="I6" s="4" t="s">
        <v>71</v>
      </c>
      <c r="J6" s="11">
        <f>J7*48*$B$2*$H$2/$J$2^3</f>
        <v>19055.555555555555</v>
      </c>
      <c r="K6" s="4" t="s">
        <v>71</v>
      </c>
      <c r="L6" s="11">
        <f>L7*48*$B$2*$H$2/$J$2^3</f>
        <v>23819.444444444445</v>
      </c>
      <c r="M6" s="4" t="s">
        <v>71</v>
      </c>
      <c r="N6" s="11">
        <f>N7*48*$B$2*$H$2/$J$2^3</f>
        <v>28583.333333333332</v>
      </c>
      <c r="O6" s="4" t="s">
        <v>71</v>
      </c>
      <c r="P6" s="11">
        <f>P7*48*$B$2*$H$2/$J$2^3</f>
        <v>33347.222222222219</v>
      </c>
      <c r="Q6" s="4" t="s">
        <v>71</v>
      </c>
      <c r="R6" s="11">
        <f>R7*48*$B$2*$H$2/$J$2^3</f>
        <v>38111.111111111109</v>
      </c>
      <c r="S6" s="4" t="s">
        <v>71</v>
      </c>
      <c r="T6" s="11">
        <f>T7*48*$B$2*$H$2/$J$2^3</f>
        <v>42875</v>
      </c>
      <c r="U6" s="4" t="s">
        <v>71</v>
      </c>
      <c r="V6" s="11">
        <f>V7*48*$B$2*$H$2/$J$2^3</f>
        <v>47638.888888888891</v>
      </c>
      <c r="X6">
        <v>0</v>
      </c>
      <c r="Y6">
        <v>0</v>
      </c>
      <c r="Z6">
        <v>0</v>
      </c>
    </row>
    <row r="7" spans="1:26" x14ac:dyDescent="0.3">
      <c r="B7" s="16"/>
      <c r="C7" s="4" t="s">
        <v>72</v>
      </c>
      <c r="D7" s="11">
        <v>5</v>
      </c>
      <c r="E7" s="4" t="s">
        <v>72</v>
      </c>
      <c r="F7" s="11">
        <v>10</v>
      </c>
      <c r="G7" s="4" t="s">
        <v>72</v>
      </c>
      <c r="H7" s="11">
        <v>15</v>
      </c>
      <c r="I7" s="4" t="s">
        <v>72</v>
      </c>
      <c r="J7" s="11">
        <v>20</v>
      </c>
      <c r="K7" s="4" t="s">
        <v>72</v>
      </c>
      <c r="L7" s="11">
        <v>25</v>
      </c>
      <c r="M7" s="4" t="s">
        <v>72</v>
      </c>
      <c r="N7" s="11">
        <v>30</v>
      </c>
      <c r="O7" s="4" t="s">
        <v>72</v>
      </c>
      <c r="P7" s="11">
        <v>35</v>
      </c>
      <c r="Q7" s="4" t="s">
        <v>72</v>
      </c>
      <c r="R7" s="11">
        <v>40</v>
      </c>
      <c r="S7" s="4" t="s">
        <v>72</v>
      </c>
      <c r="T7" s="11">
        <v>45</v>
      </c>
      <c r="U7" s="4" t="s">
        <v>72</v>
      </c>
      <c r="V7" s="11">
        <v>50</v>
      </c>
      <c r="X7">
        <v>5</v>
      </c>
      <c r="Y7" s="17">
        <f>D6</f>
        <v>4763.8888888888887</v>
      </c>
      <c r="Z7" s="17">
        <f>D31</f>
        <v>4728.2972799999998</v>
      </c>
    </row>
    <row r="8" spans="1:26" x14ac:dyDescent="0.3">
      <c r="C8" s="4" t="s">
        <v>70</v>
      </c>
      <c r="D8" s="4" t="s">
        <v>69</v>
      </c>
      <c r="E8" s="4" t="s">
        <v>70</v>
      </c>
      <c r="F8" s="4" t="s">
        <v>69</v>
      </c>
      <c r="G8" s="4" t="s">
        <v>70</v>
      </c>
      <c r="H8" s="4" t="s">
        <v>69</v>
      </c>
      <c r="I8" s="4" t="s">
        <v>70</v>
      </c>
      <c r="J8" s="4" t="s">
        <v>69</v>
      </c>
      <c r="K8" s="4" t="s">
        <v>70</v>
      </c>
      <c r="L8" s="4" t="s">
        <v>69</v>
      </c>
      <c r="M8" s="4" t="s">
        <v>70</v>
      </c>
      <c r="N8" s="4" t="s">
        <v>69</v>
      </c>
      <c r="O8" s="4" t="s">
        <v>70</v>
      </c>
      <c r="P8" s="4" t="s">
        <v>69</v>
      </c>
      <c r="Q8" s="4" t="s">
        <v>70</v>
      </c>
      <c r="R8" s="4" t="s">
        <v>69</v>
      </c>
      <c r="S8" s="4" t="s">
        <v>70</v>
      </c>
      <c r="T8" s="4" t="s">
        <v>69</v>
      </c>
      <c r="U8" s="4" t="s">
        <v>70</v>
      </c>
      <c r="V8" s="4" t="s">
        <v>69</v>
      </c>
      <c r="X8">
        <v>10</v>
      </c>
      <c r="Y8" s="17">
        <f>F6</f>
        <v>9527.7777777777774</v>
      </c>
      <c r="Z8" s="17">
        <f>F31</f>
        <v>9453.621650666666</v>
      </c>
    </row>
    <row r="9" spans="1:26" x14ac:dyDescent="0.3">
      <c r="A9">
        <v>10</v>
      </c>
      <c r="D9" s="11">
        <f>MIN(C9,0.05)*$B$2*($D$2*$F$2/2*2/15)*B9</f>
        <v>0</v>
      </c>
      <c r="F9" s="11">
        <f>MIN(E9,0.05)*$B$2*($D$2*$F$2/2*2/15)*B9</f>
        <v>0</v>
      </c>
      <c r="H9" s="11">
        <f>MIN(G9,0.05)*$B$2*($D$2*$F$2/2*2/15)*B9</f>
        <v>0</v>
      </c>
      <c r="I9" s="4"/>
      <c r="J9" s="11">
        <f>MIN(I9,0.05)*$B$2*($D$2*$F$2/2*2/15)*B9</f>
        <v>0</v>
      </c>
      <c r="K9" s="4"/>
      <c r="L9" s="11">
        <f>MIN(K9,0.05)*$B$2*($D$2*$F$2/2*2/15)*B9</f>
        <v>0</v>
      </c>
      <c r="M9" s="4"/>
      <c r="N9" s="11">
        <f>MIN(M9,0.05)*$B$2*($D$2*$F$2/2*2/15)*B9</f>
        <v>0</v>
      </c>
      <c r="O9" s="4"/>
      <c r="P9" s="11">
        <f>MIN(O9,0.05)*$B$2*($D$2*$F$2/2*2/15)*B9</f>
        <v>0</v>
      </c>
      <c r="Q9" s="4"/>
      <c r="R9" s="11">
        <f>MIN(Q9,0.05)*$B$2*($D$2*$F$2/2*2/15)*B9</f>
        <v>0</v>
      </c>
      <c r="S9" s="4"/>
      <c r="T9" s="11">
        <f>MIN(S9,0.05)*$B$2*($D$2*$F$2/2*2/15)*B9</f>
        <v>0</v>
      </c>
      <c r="U9" s="4"/>
      <c r="V9" s="11">
        <f>MIN(U9,0.05)*$B$2*($D$2*$F$2/2*2/15)*B9</f>
        <v>0</v>
      </c>
      <c r="X9">
        <v>15</v>
      </c>
      <c r="Y9" s="17">
        <f>H6</f>
        <v>14291.666666666666</v>
      </c>
      <c r="Z9" s="17">
        <f>H31</f>
        <v>14204.629768000001</v>
      </c>
    </row>
    <row r="10" spans="1:26" x14ac:dyDescent="0.3">
      <c r="A10">
        <v>9</v>
      </c>
      <c r="D10" s="11">
        <f>MIN(C10,0.05)*$B$2*($D$2*$F$2/2*2/15)*B10</f>
        <v>0</v>
      </c>
      <c r="F10" s="11">
        <f>MIN(E10,0.05)*$B$2*($D$2*$F$2/2*2/15)*B10</f>
        <v>0</v>
      </c>
      <c r="H10" s="11">
        <f>MIN(G10,0.05)*$B$2*($D$2*$F$2/2*2/15)*B10</f>
        <v>0</v>
      </c>
      <c r="I10" s="4"/>
      <c r="J10" s="11">
        <f>MIN(I10,0.05)*$B$2*($D$2*$F$2/2*2/15)*B10</f>
        <v>0</v>
      </c>
      <c r="K10" s="4"/>
      <c r="L10" s="11">
        <f>MIN(K10,0.05)*$B$2*($D$2*$F$2/2*2/15)*B10</f>
        <v>0</v>
      </c>
      <c r="M10" s="4"/>
      <c r="N10" s="11">
        <f>MIN(M10,0.05)*$B$2*($D$2*$F$2/2*2/15)*B10</f>
        <v>0</v>
      </c>
      <c r="O10" s="4"/>
      <c r="P10" s="11">
        <f>MIN(O10,0.05)*$B$2*($D$2*$F$2/2*2/15)*B10</f>
        <v>0</v>
      </c>
      <c r="Q10" s="4"/>
      <c r="R10" s="11">
        <f>MIN(Q10,0.05)*$B$2*($D$2*$F$2/2*2/15)*B10</f>
        <v>0</v>
      </c>
      <c r="S10" s="4"/>
      <c r="T10" s="11">
        <f>MIN(S10,0.05)*$B$2*($D$2*$F$2/2*2/15)*B10</f>
        <v>0</v>
      </c>
      <c r="U10" s="4"/>
      <c r="V10" s="11">
        <f>MIN(U10,0.05)*$B$2*($D$2*$F$2/2*2/15)*B10</f>
        <v>0</v>
      </c>
      <c r="X10">
        <v>20</v>
      </c>
      <c r="Y10" s="17">
        <f>J6</f>
        <v>19055.555555555555</v>
      </c>
      <c r="Z10" s="17">
        <f>J31</f>
        <v>18738.632882666665</v>
      </c>
    </row>
    <row r="11" spans="1:26" x14ac:dyDescent="0.3">
      <c r="A11">
        <v>8</v>
      </c>
      <c r="D11" s="11">
        <f>MIN(C11,0.05)*$B$2*($D$2*$F$2/2*2/15)*B11</f>
        <v>0</v>
      </c>
      <c r="F11" s="11">
        <f>MIN(E11,0.05)*$B$2*($D$2*$F$2/2*2/15)*B11</f>
        <v>0</v>
      </c>
      <c r="H11" s="11">
        <f>MIN(G11,0.05)*$B$2*($D$2*$F$2/2*2/15)*B11</f>
        <v>0</v>
      </c>
      <c r="I11" s="4"/>
      <c r="J11" s="11">
        <f>MIN(I11,0.05)*$B$2*($D$2*$F$2/2*2/15)*B11</f>
        <v>0</v>
      </c>
      <c r="K11" s="4"/>
      <c r="L11" s="11">
        <f>MIN(K11,0.05)*$B$2*($D$2*$F$2/2*2/15)*B11</f>
        <v>0</v>
      </c>
      <c r="M11" s="4"/>
      <c r="N11" s="11">
        <f>MIN(M11,0.05)*$B$2*($D$2*$F$2/2*2/15)*B11</f>
        <v>0</v>
      </c>
      <c r="O11" s="4"/>
      <c r="P11" s="11">
        <f>MIN(O11,0.05)*$B$2*($D$2*$F$2/2*2/15)*B11</f>
        <v>0</v>
      </c>
      <c r="Q11" s="4"/>
      <c r="R11" s="11">
        <f>MIN(Q11,0.05)*$B$2*($D$2*$F$2/2*2/15)*B11</f>
        <v>0</v>
      </c>
      <c r="S11" s="4"/>
      <c r="T11" s="11">
        <f>MIN(S11,0.05)*$B$2*($D$2*$F$2/2*2/15)*B11</f>
        <v>0</v>
      </c>
      <c r="U11" s="4"/>
      <c r="V11" s="11">
        <f>MIN(U11,0.05)*$B$2*($D$2*$F$2/2*2/15)*B11</f>
        <v>0</v>
      </c>
      <c r="X11">
        <v>25</v>
      </c>
      <c r="Y11" s="17">
        <f>L6</f>
        <v>23819.444444444445</v>
      </c>
      <c r="Z11" s="17">
        <f>L31</f>
        <v>23081.654997333335</v>
      </c>
    </row>
    <row r="12" spans="1:26" x14ac:dyDescent="0.3">
      <c r="A12">
        <v>7</v>
      </c>
      <c r="B12" s="4">
        <v>16.329999999999998</v>
      </c>
      <c r="C12" s="14">
        <v>1.074E-2</v>
      </c>
      <c r="D12" s="11">
        <f>MIN(C12,0.05)*$B$2*($D$2*$F$2/2*2/15)*B12</f>
        <v>61384.469999999987</v>
      </c>
      <c r="E12" s="14">
        <v>2.1542800000000001E-2</v>
      </c>
      <c r="F12" s="11">
        <f>MIN(E12,0.05)*$B$2*($D$2*$F$2/2*2/15)*B12</f>
        <v>123127.87339999998</v>
      </c>
      <c r="G12" s="14">
        <v>3.2480000000000002E-2</v>
      </c>
      <c r="H12" s="11">
        <f>MIN(G12,0.05)*$B$2*($D$2*$F$2/2*2/15)*B12</f>
        <v>185639.43999999997</v>
      </c>
      <c r="I12" s="14">
        <v>4.3039800000000003E-2</v>
      </c>
      <c r="J12" s="11">
        <f>MIN(I12,0.05)*$B$2*($D$2*$F$2/2*2/15)*B12</f>
        <v>245993.97689999998</v>
      </c>
      <c r="K12" s="14">
        <v>5.4163799999999998E-2</v>
      </c>
      <c r="L12" s="11">
        <f>MIN(K12,0.05)*$B$2*($D$2*$F$2/2*2/15)*B12</f>
        <v>285774.99999999994</v>
      </c>
      <c r="M12" s="14">
        <v>6.3611000000000001E-2</v>
      </c>
      <c r="N12" s="11">
        <f>MIN(M12,0.05)*$B$2*($D$2*$F$2/2*2/15)*B12</f>
        <v>285774.99999999994</v>
      </c>
      <c r="O12" s="14">
        <v>7.6282600000000006E-2</v>
      </c>
      <c r="P12" s="11">
        <f>MIN(O12,0.05)*$B$2*($D$2*$F$2/2*2/15)*B12</f>
        <v>285774.99999999994</v>
      </c>
      <c r="Q12" s="14">
        <v>8.5456500000000005E-2</v>
      </c>
      <c r="R12" s="11">
        <f>MIN(Q12,0.05)*$B$2*($D$2*$F$2/2*2/15)*B12</f>
        <v>285774.99999999994</v>
      </c>
      <c r="S12" s="14">
        <v>9.96755E-2</v>
      </c>
      <c r="T12" s="11">
        <f>MIN(S12,0.05)*$B$2*($D$2*$F$2/2*2/15)*B12</f>
        <v>285774.99999999994</v>
      </c>
      <c r="U12" s="14">
        <v>0.10568130000000001</v>
      </c>
      <c r="V12" s="11">
        <f>MIN(U12,0.05)*$B$2*($D$2*$F$2/2*2/15)*B12</f>
        <v>285774.99999999994</v>
      </c>
      <c r="X12">
        <v>30</v>
      </c>
      <c r="Y12" s="17">
        <f>N6</f>
        <v>28583.333333333332</v>
      </c>
      <c r="Z12" s="17">
        <f>N31</f>
        <v>25262.8292</v>
      </c>
    </row>
    <row r="13" spans="1:26" x14ac:dyDescent="0.3">
      <c r="A13">
        <v>6</v>
      </c>
      <c r="B13" s="4">
        <v>14</v>
      </c>
      <c r="C13" s="14">
        <v>9.4529999999999996E-3</v>
      </c>
      <c r="D13" s="11">
        <f>MIN(C13,0.05)*$B$2*($D$2*$F$2/2*2/15)*B13</f>
        <v>46319.700000000004</v>
      </c>
      <c r="E13" s="14">
        <v>1.8933800000000001E-2</v>
      </c>
      <c r="F13" s="11">
        <f>MIN(E13,0.05)*$B$2*($D$2*$F$2/2*2/15)*B13</f>
        <v>92775.62</v>
      </c>
      <c r="G13" s="14">
        <v>2.78546E-2</v>
      </c>
      <c r="H13" s="11">
        <f>MIN(G13,0.05)*$B$2*($D$2*$F$2/2*2/15)*B13</f>
        <v>136487.54</v>
      </c>
      <c r="I13" s="14">
        <v>3.6866999999999997E-2</v>
      </c>
      <c r="J13" s="11">
        <f>MIN(I13,0.05)*$B$2*($D$2*$F$2/2*2/15)*B13</f>
        <v>180648.3</v>
      </c>
      <c r="K13" s="14">
        <v>4.64882E-2</v>
      </c>
      <c r="L13" s="11">
        <f>MIN(K13,0.05)*$B$2*($D$2*$F$2/2*2/15)*B13</f>
        <v>227792.18000000002</v>
      </c>
      <c r="M13" s="14">
        <v>5.6155700000000003E-2</v>
      </c>
      <c r="N13" s="11">
        <f>MIN(M13,0.05)*$B$2*($D$2*$F$2/2*2/15)*B13</f>
        <v>245000</v>
      </c>
      <c r="O13" s="14">
        <v>6.6235500000000003E-2</v>
      </c>
      <c r="P13" s="11">
        <f>MIN(O13,0.05)*$B$2*($D$2*$F$2/2*2/15)*B13</f>
        <v>245000</v>
      </c>
      <c r="Q13" s="14">
        <v>7.5047100000000005E-2</v>
      </c>
      <c r="R13" s="11">
        <f>MIN(Q13,0.05)*$B$2*($D$2*$F$2/2*2/15)*B13</f>
        <v>245000</v>
      </c>
      <c r="S13" s="14">
        <v>8.1780599999999995E-2</v>
      </c>
      <c r="T13" s="11">
        <f>MIN(S13,0.05)*$B$2*($D$2*$F$2/2*2/15)*B13</f>
        <v>245000</v>
      </c>
      <c r="U13" s="14">
        <v>9.4609700000000005E-2</v>
      </c>
      <c r="V13" s="11">
        <f>MIN(U13,0.05)*$B$2*($D$2*$F$2/2*2/15)*B13</f>
        <v>245000</v>
      </c>
      <c r="X13">
        <v>35</v>
      </c>
      <c r="Y13" s="17">
        <f>P6</f>
        <v>33347.222222222219</v>
      </c>
      <c r="Z13" s="17">
        <f>P31</f>
        <v>26726.137591999999</v>
      </c>
    </row>
    <row r="14" spans="1:26" x14ac:dyDescent="0.3">
      <c r="A14">
        <v>5</v>
      </c>
      <c r="B14" s="4">
        <v>11.67</v>
      </c>
      <c r="C14" s="14">
        <v>7.7996000000000003E-3</v>
      </c>
      <c r="D14" s="11">
        <f>MIN(C14,0.05)*$B$2*($D$2*$F$2/2*2/15)*B14</f>
        <v>31857.466200000003</v>
      </c>
      <c r="E14" s="14">
        <v>1.5277000000000001E-2</v>
      </c>
      <c r="F14" s="11">
        <f>MIN(E14,0.05)*$B$2*($D$2*$F$2/2*2/15)*B14</f>
        <v>62398.906500000005</v>
      </c>
      <c r="G14" s="14">
        <v>2.33809E-2</v>
      </c>
      <c r="H14" s="11">
        <f>MIN(G14,0.05)*$B$2*($D$2*$F$2/2*2/15)*B14</f>
        <v>95499.286049999995</v>
      </c>
      <c r="I14" s="14">
        <v>3.0815499999999999E-2</v>
      </c>
      <c r="J14" s="11">
        <f>MIN(I14,0.05)*$B$2*($D$2*$F$2/2*2/15)*B14</f>
        <v>125865.90974999999</v>
      </c>
      <c r="K14" s="14">
        <v>3.8999499999999999E-2</v>
      </c>
      <c r="L14" s="11">
        <f>MIN(K14,0.05)*$B$2*($D$2*$F$2/2*2/15)*B14</f>
        <v>159293.45775</v>
      </c>
      <c r="M14" s="14">
        <v>4.60642E-2</v>
      </c>
      <c r="N14" s="11">
        <f>MIN(M14,0.05)*$B$2*($D$2*$F$2/2*2/15)*B14</f>
        <v>188149.2249</v>
      </c>
      <c r="O14" s="14">
        <v>5.36663E-2</v>
      </c>
      <c r="P14" s="11">
        <f>MIN(O14,0.05)*$B$2*($D$2*$F$2/2*2/15)*B14</f>
        <v>204225</v>
      </c>
      <c r="Q14" s="14">
        <v>6.2011200000000002E-2</v>
      </c>
      <c r="R14" s="11">
        <f>MIN(Q14,0.05)*$B$2*($D$2*$F$2/2*2/15)*B14</f>
        <v>204225</v>
      </c>
      <c r="S14" s="14">
        <v>6.7900299999999997E-2</v>
      </c>
      <c r="T14" s="11">
        <f>MIN(S14,0.05)*$B$2*($D$2*$F$2/2*2/15)*B14</f>
        <v>204225</v>
      </c>
      <c r="U14" s="14">
        <v>7.7568300000000007E-2</v>
      </c>
      <c r="V14" s="11">
        <f>MIN(U14,0.05)*$B$2*($D$2*$F$2/2*2/15)*B14</f>
        <v>204225</v>
      </c>
      <c r="X14">
        <v>40</v>
      </c>
      <c r="Y14" s="17">
        <f>R6</f>
        <v>38111.111111111109</v>
      </c>
      <c r="Z14" s="17">
        <f>R31</f>
        <v>27734.453264</v>
      </c>
    </row>
    <row r="15" spans="1:26" x14ac:dyDescent="0.3">
      <c r="A15">
        <v>4</v>
      </c>
      <c r="B15" s="4">
        <v>9.33</v>
      </c>
      <c r="C15" s="14">
        <v>6.2082999999999999E-3</v>
      </c>
      <c r="D15" s="11">
        <f>MIN(C15,0.05)*$B$2*($D$2*$F$2/2*2/15)*B15</f>
        <v>20273.203649999999</v>
      </c>
      <c r="E15" s="14">
        <v>1.2604300000000001E-2</v>
      </c>
      <c r="F15" s="11">
        <f>MIN(E15,0.05)*$B$2*($D$2*$F$2/2*2/15)*B15</f>
        <v>41159.341650000002</v>
      </c>
      <c r="G15" s="14">
        <v>1.8966299999999998E-2</v>
      </c>
      <c r="H15" s="11">
        <f>MIN(G15,0.05)*$B$2*($D$2*$F$2/2*2/15)*B15</f>
        <v>61934.452649999992</v>
      </c>
      <c r="I15" s="14">
        <v>2.43559E-2</v>
      </c>
      <c r="J15" s="11">
        <f>MIN(I15,0.05)*$B$2*($D$2*$F$2/2*2/15)*B15</f>
        <v>79534.191449999998</v>
      </c>
      <c r="K15" s="14">
        <v>3.15193E-2</v>
      </c>
      <c r="L15" s="11">
        <f>MIN(K15,0.05)*$B$2*($D$2*$F$2/2*2/15)*B15</f>
        <v>102926.27415</v>
      </c>
      <c r="M15" s="14">
        <v>3.76236E-2</v>
      </c>
      <c r="N15" s="11">
        <f>MIN(M15,0.05)*$B$2*($D$2*$F$2/2*2/15)*B15</f>
        <v>122859.8658</v>
      </c>
      <c r="O15" s="14">
        <v>4.3596799999999998E-2</v>
      </c>
      <c r="P15" s="11">
        <f>MIN(O15,0.05)*$B$2*($D$2*$F$2/2*2/15)*B15</f>
        <v>142365.3504</v>
      </c>
      <c r="Q15" s="14">
        <v>5.0071299999999999E-2</v>
      </c>
      <c r="R15" s="11">
        <f>MIN(Q15,0.05)*$B$2*($D$2*$F$2/2*2/15)*B15</f>
        <v>163275</v>
      </c>
      <c r="S15" s="14">
        <v>5.6396599999999998E-2</v>
      </c>
      <c r="T15" s="11">
        <f>MIN(S15,0.05)*$B$2*($D$2*$F$2/2*2/15)*B15</f>
        <v>163275</v>
      </c>
      <c r="U15" s="14">
        <v>6.2996700000000003E-2</v>
      </c>
      <c r="V15" s="11">
        <f>MIN(U15,0.05)*$B$2*($D$2*$F$2/2*2/15)*B15</f>
        <v>163275</v>
      </c>
      <c r="X15">
        <v>45</v>
      </c>
      <c r="Y15" s="17">
        <f>T6</f>
        <v>42875</v>
      </c>
      <c r="Z15" s="17">
        <f>T31</f>
        <v>28254.015141333337</v>
      </c>
    </row>
    <row r="16" spans="1:26" x14ac:dyDescent="0.3">
      <c r="A16">
        <v>3</v>
      </c>
      <c r="B16" s="4">
        <v>7</v>
      </c>
      <c r="C16" s="14">
        <v>4.5685999999999999E-3</v>
      </c>
      <c r="D16" s="11">
        <f>MIN(C16,0.05)*$B$2*($D$2*$F$2/2*2/15)*B16</f>
        <v>11193.07</v>
      </c>
      <c r="E16" s="14">
        <v>9.1436999999999994E-3</v>
      </c>
      <c r="F16" s="11">
        <f>MIN(E16,0.05)*$B$2*($D$2*$F$2/2*2/15)*B16</f>
        <v>22402.065000000002</v>
      </c>
      <c r="G16" s="14">
        <v>1.37968E-2</v>
      </c>
      <c r="H16" s="11">
        <f>MIN(G16,0.05)*$B$2*($D$2*$F$2/2*2/15)*B16</f>
        <v>33802.159999999996</v>
      </c>
      <c r="I16" s="14">
        <v>1.8747900000000001E-2</v>
      </c>
      <c r="J16" s="11">
        <f>MIN(I16,0.05)*$B$2*($D$2*$F$2/2*2/15)*B16</f>
        <v>45932.355000000003</v>
      </c>
      <c r="K16" s="14">
        <v>2.3518899999999999E-2</v>
      </c>
      <c r="L16" s="11">
        <f>MIN(K16,0.05)*$B$2*($D$2*$F$2/2*2/15)*B16</f>
        <v>57621.305</v>
      </c>
      <c r="M16" s="14">
        <v>2.7532600000000001E-2</v>
      </c>
      <c r="N16" s="11">
        <f>MIN(M16,0.05)*$B$2*($D$2*$F$2/2*2/15)*B16</f>
        <v>67454.87</v>
      </c>
      <c r="O16" s="14">
        <v>3.2843299999999999E-2</v>
      </c>
      <c r="P16" s="11">
        <f>MIN(O16,0.05)*$B$2*($D$2*$F$2/2*2/15)*B16</f>
        <v>80466.084999999992</v>
      </c>
      <c r="Q16" s="14">
        <v>3.7277999999999999E-2</v>
      </c>
      <c r="R16" s="11">
        <f>MIN(Q16,0.05)*$B$2*($D$2*$F$2/2*2/15)*B16</f>
        <v>91331.099999999991</v>
      </c>
      <c r="S16" s="14">
        <v>4.2225699999999998E-2</v>
      </c>
      <c r="T16" s="11">
        <f>MIN(S16,0.05)*$B$2*($D$2*$F$2/2*2/15)*B16</f>
        <v>103452.96500000001</v>
      </c>
      <c r="U16" s="14">
        <v>4.6927400000000001E-2</v>
      </c>
      <c r="V16" s="11">
        <f>MIN(U16,0.05)*$B$2*($D$2*$F$2/2*2/15)*B16</f>
        <v>114972.13</v>
      </c>
      <c r="X16">
        <v>50</v>
      </c>
      <c r="Y16" s="17">
        <f>V6</f>
        <v>47638.888888888891</v>
      </c>
      <c r="Z16" s="17">
        <f>V31</f>
        <v>28696.711810666664</v>
      </c>
    </row>
    <row r="17" spans="1:22" x14ac:dyDescent="0.3">
      <c r="A17">
        <v>2</v>
      </c>
      <c r="B17" s="4">
        <v>4.67</v>
      </c>
      <c r="C17" s="14">
        <v>3.0913999999999998E-3</v>
      </c>
      <c r="D17" s="11">
        <f>MIN(C17,0.05)*$B$2*($D$2*$F$2/2*2/15)*B17</f>
        <v>5052.8932999999997</v>
      </c>
      <c r="E17" s="14">
        <v>6.1939999999999999E-3</v>
      </c>
      <c r="F17" s="11">
        <f>MIN(E17,0.05)*$B$2*($D$2*$F$2/2*2/15)*B17</f>
        <v>10124.093000000001</v>
      </c>
      <c r="G17" s="14">
        <v>9.4899000000000008E-3</v>
      </c>
      <c r="H17" s="11">
        <f>MIN(G17,0.05)*$B$2*($D$2*$F$2/2*2/15)*B17</f>
        <v>15511.241550000001</v>
      </c>
      <c r="I17" s="14">
        <v>1.2091899999999999E-2</v>
      </c>
      <c r="J17" s="11">
        <f>MIN(I17,0.05)*$B$2*($D$2*$F$2/2*2/15)*B17</f>
        <v>19764.21055</v>
      </c>
      <c r="K17" s="14">
        <v>1.5816500000000001E-2</v>
      </c>
      <c r="L17" s="11">
        <f>MIN(K17,0.05)*$B$2*($D$2*$F$2/2*2/15)*B17</f>
        <v>25852.06925</v>
      </c>
      <c r="M17" s="14">
        <v>1.8643400000000001E-2</v>
      </c>
      <c r="N17" s="11">
        <f>MIN(M17,0.05)*$B$2*($D$2*$F$2/2*2/15)*B17</f>
        <v>30472.637299999999</v>
      </c>
      <c r="O17" s="14">
        <v>2.1776500000000001E-2</v>
      </c>
      <c r="P17" s="11">
        <f>MIN(O17,0.05)*$B$2*($D$2*$F$2/2*2/15)*B17</f>
        <v>35593.689250000003</v>
      </c>
      <c r="Q17" s="14">
        <v>2.4836400000000002E-2</v>
      </c>
      <c r="R17" s="11">
        <f>MIN(Q17,0.05)*$B$2*($D$2*$F$2/2*2/15)*B17</f>
        <v>40595.095799999996</v>
      </c>
      <c r="S17" s="14">
        <v>2.85013E-2</v>
      </c>
      <c r="T17" s="11">
        <f>MIN(S17,0.05)*$B$2*($D$2*$F$2/2*2/15)*B17</f>
        <v>46585.37485</v>
      </c>
      <c r="U17" s="14">
        <v>3.0787200000000001E-2</v>
      </c>
      <c r="V17" s="11">
        <f>MIN(U17,0.05)*$B$2*($D$2*$F$2/2*2/15)*B17</f>
        <v>50321.678400000004</v>
      </c>
    </row>
    <row r="18" spans="1:22" x14ac:dyDescent="0.3">
      <c r="A18">
        <v>1</v>
      </c>
      <c r="B18" s="4">
        <v>2.33</v>
      </c>
      <c r="C18" s="14">
        <v>1.5087E-3</v>
      </c>
      <c r="D18" s="11">
        <f>MIN(C18,0.05)*$B$2*($D$2*$F$2/2*2/15)*B18</f>
        <v>1230.34485</v>
      </c>
      <c r="E18" s="14">
        <v>3.0937E-3</v>
      </c>
      <c r="F18" s="11">
        <f>MIN(E18,0.05)*$B$2*($D$2*$F$2/2*2/15)*B18</f>
        <v>2522.9123500000001</v>
      </c>
      <c r="G18" s="14">
        <v>4.6591000000000002E-3</v>
      </c>
      <c r="H18" s="11">
        <f>MIN(G18,0.05)*$B$2*($D$2*$F$2/2*2/15)*B18</f>
        <v>3799.4960500000002</v>
      </c>
      <c r="I18" s="14">
        <v>6.0819000000000003E-3</v>
      </c>
      <c r="J18" s="11">
        <f>MIN(I18,0.05)*$B$2*($D$2*$F$2/2*2/15)*B18</f>
        <v>4959.7894500000002</v>
      </c>
      <c r="K18" s="14">
        <v>7.7275E-3</v>
      </c>
      <c r="L18" s="11">
        <f>MIN(K18,0.05)*$B$2*($D$2*$F$2/2*2/15)*B18</f>
        <v>6301.7762499999999</v>
      </c>
      <c r="M18" s="14">
        <v>9.3740000000000004E-3</v>
      </c>
      <c r="N18" s="11">
        <f>MIN(M18,0.05)*$B$2*($D$2*$F$2/2*2/15)*B18</f>
        <v>7644.4970000000012</v>
      </c>
      <c r="O18" s="14">
        <v>1.07971E-2</v>
      </c>
      <c r="P18" s="11">
        <f>MIN(O18,0.05)*$B$2*($D$2*$F$2/2*2/15)*B18</f>
        <v>8805.0350500000004</v>
      </c>
      <c r="Q18" s="14">
        <v>1.20672E-2</v>
      </c>
      <c r="R18" s="11">
        <f>MIN(Q18,0.05)*$B$2*($D$2*$F$2/2*2/15)*B18</f>
        <v>9840.8015999999989</v>
      </c>
      <c r="S18" s="14">
        <v>1.37489E-2</v>
      </c>
      <c r="T18" s="11">
        <f>MIN(S18,0.05)*$B$2*($D$2*$F$2/2*2/15)*B18</f>
        <v>11212.22795</v>
      </c>
      <c r="U18" s="14">
        <v>1.5398999999999999E-2</v>
      </c>
      <c r="V18" s="11">
        <f>MIN(U18,0.05)*$B$2*($D$2*$F$2/2*2/15)*B18</f>
        <v>12557.884500000002</v>
      </c>
    </row>
    <row r="19" spans="1:22" x14ac:dyDescent="0.3">
      <c r="A19">
        <v>0</v>
      </c>
      <c r="B19" s="4">
        <v>0</v>
      </c>
      <c r="C19" s="14">
        <v>0</v>
      </c>
      <c r="D19" s="11">
        <f>MIN(C19,0.05)*$B$2*($D$2*$F$2/2*2/15)*B19</f>
        <v>0</v>
      </c>
      <c r="E19" s="14">
        <v>0</v>
      </c>
      <c r="F19" s="11">
        <f>MIN(E19,0.05)*$B$2*($D$2*$F$2/2*2/15)*B19</f>
        <v>0</v>
      </c>
      <c r="G19" s="14">
        <v>0</v>
      </c>
      <c r="H19" s="11">
        <f>MIN(G19,0.05)*$B$2*($D$2*$F$2/2*2/15)*B19</f>
        <v>0</v>
      </c>
      <c r="I19" s="14">
        <v>0</v>
      </c>
      <c r="J19" s="11">
        <f>MIN(I19,0.05)*$B$2*($D$2*$F$2/2*2/15)*B19</f>
        <v>0</v>
      </c>
      <c r="K19" s="14">
        <v>0</v>
      </c>
      <c r="L19" s="11">
        <f>MIN(K19,0.05)*$B$2*($D$2*$F$2/2*2/15)*B19</f>
        <v>0</v>
      </c>
      <c r="M19" s="14">
        <v>0</v>
      </c>
      <c r="N19" s="11">
        <f>MIN(M19,0.05)*$B$2*($D$2*$F$2/2*2/15)*B19</f>
        <v>0</v>
      </c>
      <c r="O19" s="14">
        <v>0</v>
      </c>
      <c r="P19" s="11">
        <f>MIN(O19,0.05)*$B$2*($D$2*$F$2/2*2/15)*B19</f>
        <v>0</v>
      </c>
      <c r="Q19" s="14">
        <v>0</v>
      </c>
      <c r="R19" s="11">
        <f>MIN(Q19,0.05)*$B$2*($D$2*$F$2/2*2/15)*B19</f>
        <v>0</v>
      </c>
      <c r="S19" s="14">
        <v>0</v>
      </c>
      <c r="T19" s="11">
        <f>MIN(S19,0.05)*$B$2*($D$2*$F$2/2*2/15)*B19</f>
        <v>0</v>
      </c>
      <c r="U19" s="14">
        <v>0</v>
      </c>
      <c r="V19" s="11">
        <f>MIN(U19,0.05)*$B$2*($D$2*$F$2/2*2/15)*B19</f>
        <v>0</v>
      </c>
    </row>
    <row r="20" spans="1:22" x14ac:dyDescent="0.3">
      <c r="B20" s="4">
        <f>B18</f>
        <v>2.33</v>
      </c>
      <c r="C20" s="14">
        <f>C18</f>
        <v>1.5087E-3</v>
      </c>
      <c r="D20" s="11">
        <f>MIN(C20,0.05)*$B$2*($D$2*$F$2/2*2/15)*B20</f>
        <v>1230.34485</v>
      </c>
      <c r="E20" s="14">
        <f>E18</f>
        <v>3.0937E-3</v>
      </c>
      <c r="F20" s="11">
        <f>MIN(E20,0.05)*$B$2*($D$2*$F$2/2*2/15)*B20</f>
        <v>2522.9123500000001</v>
      </c>
      <c r="G20" s="14">
        <f>G18</f>
        <v>4.6591000000000002E-3</v>
      </c>
      <c r="H20" s="11">
        <f>MIN(G20,0.05)*$B$2*($D$2*$F$2/2*2/15)*B20</f>
        <v>3799.4960500000002</v>
      </c>
      <c r="I20" s="14">
        <f>I18</f>
        <v>6.0819000000000003E-3</v>
      </c>
      <c r="J20" s="11">
        <f>MIN(I20,0.05)*$B$2*($D$2*$F$2/2*2/15)*B20</f>
        <v>4959.7894500000002</v>
      </c>
      <c r="K20" s="14">
        <f>K18</f>
        <v>7.7275E-3</v>
      </c>
      <c r="L20" s="11">
        <f>MIN(K20,0.05)*$B$2*($D$2*$F$2/2*2/15)*B20</f>
        <v>6301.7762499999999</v>
      </c>
      <c r="M20" s="14">
        <f>M18</f>
        <v>9.3740000000000004E-3</v>
      </c>
      <c r="N20" s="11">
        <f>MIN(M20,0.05)*$B$2*($D$2*$F$2/2*2/15)*B20</f>
        <v>7644.4970000000012</v>
      </c>
      <c r="O20" s="14">
        <f>O18</f>
        <v>1.07971E-2</v>
      </c>
      <c r="P20" s="11">
        <f>MIN(O20,0.05)*$B$2*($D$2*$F$2/2*2/15)*B20</f>
        <v>8805.0350500000004</v>
      </c>
      <c r="Q20" s="14">
        <f>Q18</f>
        <v>1.20672E-2</v>
      </c>
      <c r="R20" s="11">
        <f>MIN(Q20,0.05)*$B$2*($D$2*$F$2/2*2/15)*B20</f>
        <v>9840.8015999999989</v>
      </c>
      <c r="S20" s="14">
        <f>S18</f>
        <v>1.37489E-2</v>
      </c>
      <c r="T20" s="11">
        <f>MIN(S20,0.05)*$B$2*($D$2*$F$2/2*2/15)*B20</f>
        <v>11212.22795</v>
      </c>
      <c r="U20" s="14">
        <f>U18</f>
        <v>1.5398999999999999E-2</v>
      </c>
      <c r="V20" s="11">
        <f>MIN(U20,0.05)*$B$2*($D$2*$F$2/2*2/15)*B20</f>
        <v>12557.884500000002</v>
      </c>
    </row>
    <row r="21" spans="1:22" x14ac:dyDescent="0.3">
      <c r="B21" s="4">
        <f>B17</f>
        <v>4.67</v>
      </c>
      <c r="C21" s="14">
        <f>C17</f>
        <v>3.0913999999999998E-3</v>
      </c>
      <c r="D21" s="11">
        <f>MIN(C21,0.05)*$B$2*($D$2*$F$2/2*2/15)*B21</f>
        <v>5052.8932999999997</v>
      </c>
      <c r="E21" s="14">
        <f>E17</f>
        <v>6.1939999999999999E-3</v>
      </c>
      <c r="F21" s="11">
        <f>MIN(E21,0.05)*$B$2*($D$2*$F$2/2*2/15)*B21</f>
        <v>10124.093000000001</v>
      </c>
      <c r="G21" s="14">
        <f>G17</f>
        <v>9.4899000000000008E-3</v>
      </c>
      <c r="H21" s="11">
        <f>MIN(G21,0.05)*$B$2*($D$2*$F$2/2*2/15)*B21</f>
        <v>15511.241550000001</v>
      </c>
      <c r="I21" s="14">
        <f>I17</f>
        <v>1.2091899999999999E-2</v>
      </c>
      <c r="J21" s="11">
        <f>MIN(I21,0.05)*$B$2*($D$2*$F$2/2*2/15)*B21</f>
        <v>19764.21055</v>
      </c>
      <c r="K21" s="14">
        <f>K17</f>
        <v>1.5816500000000001E-2</v>
      </c>
      <c r="L21" s="11">
        <f>MIN(K21,0.05)*$B$2*($D$2*$F$2/2*2/15)*B21</f>
        <v>25852.06925</v>
      </c>
      <c r="M21" s="14">
        <f>M17</f>
        <v>1.8643400000000001E-2</v>
      </c>
      <c r="N21" s="11">
        <f>MIN(M21,0.05)*$B$2*($D$2*$F$2/2*2/15)*B21</f>
        <v>30472.637299999999</v>
      </c>
      <c r="O21" s="14">
        <f>O17</f>
        <v>2.1776500000000001E-2</v>
      </c>
      <c r="P21" s="11">
        <f>MIN(O21,0.05)*$B$2*($D$2*$F$2/2*2/15)*B21</f>
        <v>35593.689250000003</v>
      </c>
      <c r="Q21" s="14">
        <f>Q17</f>
        <v>2.4836400000000002E-2</v>
      </c>
      <c r="R21" s="11">
        <f>MIN(Q21,0.05)*$B$2*($D$2*$F$2/2*2/15)*B21</f>
        <v>40595.095799999996</v>
      </c>
      <c r="S21" s="14">
        <f>S17</f>
        <v>2.85013E-2</v>
      </c>
      <c r="T21" s="11">
        <f>MIN(S21,0.05)*$B$2*($D$2*$F$2/2*2/15)*B21</f>
        <v>46585.37485</v>
      </c>
      <c r="U21" s="14">
        <f>U17</f>
        <v>3.0787200000000001E-2</v>
      </c>
      <c r="V21" s="11">
        <f>MIN(U21,0.05)*$B$2*($D$2*$F$2/2*2/15)*B21</f>
        <v>50321.678400000004</v>
      </c>
    </row>
    <row r="22" spans="1:22" x14ac:dyDescent="0.3">
      <c r="B22" s="4">
        <f>B16</f>
        <v>7</v>
      </c>
      <c r="C22" s="14">
        <f>C16</f>
        <v>4.5685999999999999E-3</v>
      </c>
      <c r="D22" s="11">
        <f>MIN(C22,0.05)*$B$2*($D$2*$F$2/2*2/15)*B22</f>
        <v>11193.07</v>
      </c>
      <c r="E22" s="14">
        <f>E16</f>
        <v>9.1436999999999994E-3</v>
      </c>
      <c r="F22" s="11">
        <f>MIN(E22,0.05)*$B$2*($D$2*$F$2/2*2/15)*B22</f>
        <v>22402.065000000002</v>
      </c>
      <c r="G22" s="14">
        <f>G16</f>
        <v>1.37968E-2</v>
      </c>
      <c r="H22" s="11">
        <f>MIN(G22,0.05)*$B$2*($D$2*$F$2/2*2/15)*B22</f>
        <v>33802.159999999996</v>
      </c>
      <c r="I22" s="14">
        <f>I16</f>
        <v>1.8747900000000001E-2</v>
      </c>
      <c r="J22" s="11">
        <f>MIN(I22,0.05)*$B$2*($D$2*$F$2/2*2/15)*B22</f>
        <v>45932.355000000003</v>
      </c>
      <c r="K22" s="14">
        <f>K16</f>
        <v>2.3518899999999999E-2</v>
      </c>
      <c r="L22" s="11">
        <f>MIN(K22,0.05)*$B$2*($D$2*$F$2/2*2/15)*B22</f>
        <v>57621.305</v>
      </c>
      <c r="M22" s="14">
        <f>M16</f>
        <v>2.7532600000000001E-2</v>
      </c>
      <c r="N22" s="11">
        <f>MIN(M22,0.05)*$B$2*($D$2*$F$2/2*2/15)*B22</f>
        <v>67454.87</v>
      </c>
      <c r="O22" s="14">
        <f>O16</f>
        <v>3.2843299999999999E-2</v>
      </c>
      <c r="P22" s="11">
        <f>MIN(O22,0.05)*$B$2*($D$2*$F$2/2*2/15)*B22</f>
        <v>80466.084999999992</v>
      </c>
      <c r="Q22" s="14">
        <f>Q16</f>
        <v>3.7277999999999999E-2</v>
      </c>
      <c r="R22" s="11">
        <f>MIN(Q22,0.05)*$B$2*($D$2*$F$2/2*2/15)*B22</f>
        <v>91331.099999999991</v>
      </c>
      <c r="S22" s="14">
        <f>S16</f>
        <v>4.2225699999999998E-2</v>
      </c>
      <c r="T22" s="11">
        <f>MIN(S22,0.05)*$B$2*($D$2*$F$2/2*2/15)*B22</f>
        <v>103452.96500000001</v>
      </c>
      <c r="U22" s="14">
        <f>U16</f>
        <v>4.6927400000000001E-2</v>
      </c>
      <c r="V22" s="11">
        <f>MIN(U22,0.05)*$B$2*($D$2*$F$2/2*2/15)*B22</f>
        <v>114972.13</v>
      </c>
    </row>
    <row r="23" spans="1:22" x14ac:dyDescent="0.3">
      <c r="B23" s="4">
        <f>B15</f>
        <v>9.33</v>
      </c>
      <c r="C23" s="14">
        <f>C15</f>
        <v>6.2082999999999999E-3</v>
      </c>
      <c r="D23" s="11">
        <f>MIN(C23,0.05)*$B$2*($D$2*$F$2/2*2/15)*B23</f>
        <v>20273.203649999999</v>
      </c>
      <c r="E23" s="14">
        <f>E15</f>
        <v>1.2604300000000001E-2</v>
      </c>
      <c r="F23" s="11">
        <f>MIN(E23,0.05)*$B$2*($D$2*$F$2/2*2/15)*B23</f>
        <v>41159.341650000002</v>
      </c>
      <c r="G23" s="14">
        <f>G15</f>
        <v>1.8966299999999998E-2</v>
      </c>
      <c r="H23" s="11">
        <f>MIN(G23,0.05)*$B$2*($D$2*$F$2/2*2/15)*B23</f>
        <v>61934.452649999992</v>
      </c>
      <c r="I23" s="14">
        <f>I15</f>
        <v>2.43559E-2</v>
      </c>
      <c r="J23" s="11">
        <f>MIN(I23,0.05)*$B$2*($D$2*$F$2/2*2/15)*B23</f>
        <v>79534.191449999998</v>
      </c>
      <c r="K23" s="14">
        <f>K15</f>
        <v>3.15193E-2</v>
      </c>
      <c r="L23" s="11">
        <f>MIN(K23,0.05)*$B$2*($D$2*$F$2/2*2/15)*B23</f>
        <v>102926.27415</v>
      </c>
      <c r="M23" s="14">
        <f>M15</f>
        <v>3.76236E-2</v>
      </c>
      <c r="N23" s="11">
        <f>MIN(M23,0.05)*$B$2*($D$2*$F$2/2*2/15)*B23</f>
        <v>122859.8658</v>
      </c>
      <c r="O23" s="14">
        <f>O15</f>
        <v>4.3596799999999998E-2</v>
      </c>
      <c r="P23" s="11">
        <f>MIN(O23,0.05)*$B$2*($D$2*$F$2/2*2/15)*B23</f>
        <v>142365.3504</v>
      </c>
      <c r="Q23" s="14">
        <f>Q15</f>
        <v>5.0071299999999999E-2</v>
      </c>
      <c r="R23" s="11">
        <f>MIN(Q23,0.05)*$B$2*($D$2*$F$2/2*2/15)*B23</f>
        <v>163275</v>
      </c>
      <c r="S23" s="14">
        <f>S15</f>
        <v>5.6396599999999998E-2</v>
      </c>
      <c r="T23" s="11">
        <f>MIN(S23,0.05)*$B$2*($D$2*$F$2/2*2/15)*B23</f>
        <v>163275</v>
      </c>
      <c r="U23" s="14">
        <f>U15</f>
        <v>6.2996700000000003E-2</v>
      </c>
      <c r="V23" s="11">
        <f>MIN(U23,0.05)*$B$2*($D$2*$F$2/2*2/15)*B23</f>
        <v>163275</v>
      </c>
    </row>
    <row r="24" spans="1:22" x14ac:dyDescent="0.3">
      <c r="B24" s="4">
        <f>B14</f>
        <v>11.67</v>
      </c>
      <c r="C24" s="14">
        <f>C14</f>
        <v>7.7996000000000003E-3</v>
      </c>
      <c r="D24" s="11">
        <f>MIN(C24,0.05)*$B$2*($D$2*$F$2/2*2/15)*B24</f>
        <v>31857.466200000003</v>
      </c>
      <c r="E24" s="14">
        <f>E14</f>
        <v>1.5277000000000001E-2</v>
      </c>
      <c r="F24" s="11">
        <f>MIN(E24,0.05)*$B$2*($D$2*$F$2/2*2/15)*B24</f>
        <v>62398.906500000005</v>
      </c>
      <c r="G24" s="14">
        <f>G14</f>
        <v>2.33809E-2</v>
      </c>
      <c r="H24" s="11">
        <f>MIN(G24,0.05)*$B$2*($D$2*$F$2/2*2/15)*B24</f>
        <v>95499.286049999995</v>
      </c>
      <c r="I24" s="14">
        <f>I14</f>
        <v>3.0815499999999999E-2</v>
      </c>
      <c r="J24" s="11">
        <f>MIN(I24,0.05)*$B$2*($D$2*$F$2/2*2/15)*B24</f>
        <v>125865.90974999999</v>
      </c>
      <c r="K24" s="14">
        <f>K14</f>
        <v>3.8999499999999999E-2</v>
      </c>
      <c r="L24" s="11">
        <f>MIN(K24,0.05)*$B$2*($D$2*$F$2/2*2/15)*B24</f>
        <v>159293.45775</v>
      </c>
      <c r="M24" s="14">
        <f>M14</f>
        <v>4.60642E-2</v>
      </c>
      <c r="N24" s="11">
        <f>MIN(M24,0.05)*$B$2*($D$2*$F$2/2*2/15)*B24</f>
        <v>188149.2249</v>
      </c>
      <c r="O24" s="14">
        <f>O14</f>
        <v>5.36663E-2</v>
      </c>
      <c r="P24" s="11">
        <f>MIN(O24,0.05)*$B$2*($D$2*$F$2/2*2/15)*B24</f>
        <v>204225</v>
      </c>
      <c r="Q24" s="14">
        <f>Q14</f>
        <v>6.2011200000000002E-2</v>
      </c>
      <c r="R24" s="11">
        <f>MIN(Q24,0.05)*$B$2*($D$2*$F$2/2*2/15)*B24</f>
        <v>204225</v>
      </c>
      <c r="S24" s="14">
        <f>S14</f>
        <v>6.7900299999999997E-2</v>
      </c>
      <c r="T24" s="11">
        <f>MIN(S24,0.05)*$B$2*($D$2*$F$2/2*2/15)*B24</f>
        <v>204225</v>
      </c>
      <c r="U24" s="14">
        <f>U14</f>
        <v>7.7568300000000007E-2</v>
      </c>
      <c r="V24" s="11">
        <f>MIN(U24,0.05)*$B$2*($D$2*$F$2/2*2/15)*B24</f>
        <v>204225</v>
      </c>
    </row>
    <row r="25" spans="1:22" x14ac:dyDescent="0.3">
      <c r="B25" s="4">
        <f>B13</f>
        <v>14</v>
      </c>
      <c r="C25" s="14">
        <f>C13</f>
        <v>9.4529999999999996E-3</v>
      </c>
      <c r="D25" s="11">
        <f>MIN(C25,0.05)*$B$2*($D$2*$F$2/2*2/15)*B25</f>
        <v>46319.700000000004</v>
      </c>
      <c r="E25" s="14">
        <f>E13</f>
        <v>1.8933800000000001E-2</v>
      </c>
      <c r="F25" s="11">
        <f>MIN(E25,0.05)*$B$2*($D$2*$F$2/2*2/15)*B25</f>
        <v>92775.62</v>
      </c>
      <c r="G25" s="14">
        <f>G13</f>
        <v>2.78546E-2</v>
      </c>
      <c r="H25" s="11">
        <f>MIN(G25,0.05)*$B$2*($D$2*$F$2/2*2/15)*B25</f>
        <v>136487.54</v>
      </c>
      <c r="I25" s="14">
        <f>I13</f>
        <v>3.6866999999999997E-2</v>
      </c>
      <c r="J25" s="11">
        <f>MIN(I25,0.05)*$B$2*($D$2*$F$2/2*2/15)*B25</f>
        <v>180648.3</v>
      </c>
      <c r="K25" s="14">
        <f>K13</f>
        <v>4.64882E-2</v>
      </c>
      <c r="L25" s="11">
        <f>MIN(K25,0.05)*$B$2*($D$2*$F$2/2*2/15)*B25</f>
        <v>227792.18000000002</v>
      </c>
      <c r="M25" s="14">
        <f>M13</f>
        <v>5.6155700000000003E-2</v>
      </c>
      <c r="N25" s="11">
        <f>MIN(M25,0.05)*$B$2*($D$2*$F$2/2*2/15)*B25</f>
        <v>245000</v>
      </c>
      <c r="O25" s="14">
        <f>O13</f>
        <v>6.6235500000000003E-2</v>
      </c>
      <c r="P25" s="11">
        <f>MIN(O25,0.05)*$B$2*($D$2*$F$2/2*2/15)*B25</f>
        <v>245000</v>
      </c>
      <c r="Q25" s="14">
        <f>Q13</f>
        <v>7.5047100000000005E-2</v>
      </c>
      <c r="R25" s="11">
        <f>MIN(Q25,0.05)*$B$2*($D$2*$F$2/2*2/15)*B25</f>
        <v>245000</v>
      </c>
      <c r="S25" s="14">
        <f>S13</f>
        <v>8.1780599999999995E-2</v>
      </c>
      <c r="T25" s="11">
        <f>MIN(S25,0.05)*$B$2*($D$2*$F$2/2*2/15)*B25</f>
        <v>245000</v>
      </c>
      <c r="U25" s="14">
        <f>U13</f>
        <v>9.4609700000000005E-2</v>
      </c>
      <c r="V25" s="11">
        <f>MIN(U25,0.05)*$B$2*($D$2*$F$2/2*2/15)*B25</f>
        <v>245000</v>
      </c>
    </row>
    <row r="26" spans="1:22" x14ac:dyDescent="0.3">
      <c r="B26" s="4">
        <f>B12</f>
        <v>16.329999999999998</v>
      </c>
      <c r="C26" s="14">
        <f>C12</f>
        <v>1.074E-2</v>
      </c>
      <c r="D26" s="11">
        <f>MIN(C26,0.05)*$B$2*($D$2*$F$2/2*2/15)*B26</f>
        <v>61384.469999999987</v>
      </c>
      <c r="E26" s="14">
        <f>E12</f>
        <v>2.1542800000000001E-2</v>
      </c>
      <c r="F26" s="11">
        <f>MIN(E26,0.05)*$B$2*($D$2*$F$2/2*2/15)*B26</f>
        <v>123127.87339999998</v>
      </c>
      <c r="G26" s="14">
        <f>G12</f>
        <v>3.2480000000000002E-2</v>
      </c>
      <c r="H26" s="11">
        <f>MIN(G26,0.05)*$B$2*($D$2*$F$2/2*2/15)*B26</f>
        <v>185639.43999999997</v>
      </c>
      <c r="I26" s="14">
        <f>I12</f>
        <v>4.3039800000000003E-2</v>
      </c>
      <c r="J26" s="11">
        <f>MIN(I26,0.05)*$B$2*($D$2*$F$2/2*2/15)*B26</f>
        <v>245993.97689999998</v>
      </c>
      <c r="K26" s="14">
        <f>K12</f>
        <v>5.4163799999999998E-2</v>
      </c>
      <c r="L26" s="11">
        <f>MIN(K26,0.05)*$B$2*($D$2*$F$2/2*2/15)*B26</f>
        <v>285774.99999999994</v>
      </c>
      <c r="M26" s="14">
        <f>M12</f>
        <v>6.3611000000000001E-2</v>
      </c>
      <c r="N26" s="11">
        <f>MIN(M26,0.05)*$B$2*($D$2*$F$2/2*2/15)*B26</f>
        <v>285774.99999999994</v>
      </c>
      <c r="O26" s="14">
        <f>O12</f>
        <v>7.6282600000000006E-2</v>
      </c>
      <c r="P26" s="11">
        <f>MIN(O26,0.05)*$B$2*($D$2*$F$2/2*2/15)*B26</f>
        <v>285774.99999999994</v>
      </c>
      <c r="Q26" s="14">
        <f>Q12</f>
        <v>8.5456500000000005E-2</v>
      </c>
      <c r="R26" s="11">
        <f>MIN(Q26,0.05)*$B$2*($D$2*$F$2/2*2/15)*B26</f>
        <v>285774.99999999994</v>
      </c>
      <c r="S26" s="14">
        <f>S12</f>
        <v>9.96755E-2</v>
      </c>
      <c r="T26" s="11">
        <f>MIN(S26,0.05)*$B$2*($D$2*$F$2/2*2/15)*B26</f>
        <v>285774.99999999994</v>
      </c>
      <c r="U26" s="14">
        <f>U12</f>
        <v>0.10568130000000001</v>
      </c>
      <c r="V26" s="11">
        <f>MIN(U26,0.05)*$B$2*($D$2*$F$2/2*2/15)*B26</f>
        <v>285774.99999999994</v>
      </c>
    </row>
    <row r="27" spans="1:22" x14ac:dyDescent="0.3">
      <c r="B27" s="4">
        <f>B11</f>
        <v>0</v>
      </c>
      <c r="D27" s="11">
        <f>MIN(C27,0.05)*$B$2*($D$2*$F$2/2*2/15)*B27</f>
        <v>0</v>
      </c>
      <c r="F27" s="11">
        <f>MIN(E27,0.05)*$B$2*($D$2*$F$2/2*2/15)*B27</f>
        <v>0</v>
      </c>
      <c r="H27" s="11">
        <f>MIN(G27,0.05)*$B$2*($D$2*$F$2/2*2/15)*B27</f>
        <v>0</v>
      </c>
      <c r="I27" s="4"/>
      <c r="J27" s="11">
        <f>MIN(I27,0.05)*$B$2*($D$2*$F$2/2*2/15)*B27</f>
        <v>0</v>
      </c>
      <c r="K27" s="4"/>
      <c r="L27" s="11">
        <f>MIN(K27,0.05)*$B$2*($D$2*$F$2/2*2/15)*B27</f>
        <v>0</v>
      </c>
      <c r="M27" s="4"/>
      <c r="N27" s="11">
        <f>MIN(M27,0.05)*$B$2*($D$2*$F$2/2*2/15)*B27</f>
        <v>0</v>
      </c>
      <c r="O27" s="4"/>
      <c r="P27" s="11">
        <f>MIN(O27,0.05)*$B$2*($D$2*$F$2/2*2/15)*B27</f>
        <v>0</v>
      </c>
      <c r="Q27" s="4"/>
      <c r="R27" s="11">
        <f>MIN(Q27,0.05)*$B$2*($D$2*$F$2/2*2/15)*B27</f>
        <v>0</v>
      </c>
      <c r="S27" s="4"/>
      <c r="T27" s="11">
        <f>MIN(S27,0.05)*$B$2*($D$2*$F$2/2*2/15)*B27</f>
        <v>0</v>
      </c>
      <c r="U27" s="4"/>
      <c r="V27" s="11">
        <f>MIN(U27,0.05)*$B$2*($D$2*$F$2/2*2/15)*B27</f>
        <v>0</v>
      </c>
    </row>
    <row r="28" spans="1:22" x14ac:dyDescent="0.3">
      <c r="B28" s="4">
        <f>B10</f>
        <v>0</v>
      </c>
      <c r="D28" s="11">
        <f>MIN(C28,0.05)*$B$2*($D$2*$F$2/2*2/15)*B28</f>
        <v>0</v>
      </c>
      <c r="F28" s="11">
        <f>MIN(E28,0.05)*$B$2*($D$2*$F$2/2*2/15)*B28</f>
        <v>0</v>
      </c>
      <c r="H28" s="11">
        <f>MIN(G28,0.05)*$B$2*($D$2*$F$2/2*2/15)*B28</f>
        <v>0</v>
      </c>
      <c r="I28" s="4"/>
      <c r="J28" s="11">
        <f>MIN(I28,0.05)*$B$2*($D$2*$F$2/2*2/15)*B28</f>
        <v>0</v>
      </c>
      <c r="K28" s="4"/>
      <c r="L28" s="11">
        <f>MIN(K28,0.05)*$B$2*($D$2*$F$2/2*2/15)*B28</f>
        <v>0</v>
      </c>
      <c r="M28" s="4"/>
      <c r="N28" s="11">
        <f>MIN(M28,0.05)*$B$2*($D$2*$F$2/2*2/15)*B28</f>
        <v>0</v>
      </c>
      <c r="O28" s="4"/>
      <c r="P28" s="11">
        <f>MIN(O28,0.05)*$B$2*($D$2*$F$2/2*2/15)*B28</f>
        <v>0</v>
      </c>
      <c r="Q28" s="4"/>
      <c r="R28" s="11">
        <f>MIN(Q28,0.05)*$B$2*($D$2*$F$2/2*2/15)*B28</f>
        <v>0</v>
      </c>
      <c r="S28" s="4"/>
      <c r="T28" s="11">
        <f>MIN(S28,0.05)*$B$2*($D$2*$F$2/2*2/15)*B28</f>
        <v>0</v>
      </c>
      <c r="U28" s="4"/>
      <c r="V28" s="11">
        <f>MIN(U28,0.05)*$B$2*($D$2*$F$2/2*2/15)*B28</f>
        <v>0</v>
      </c>
    </row>
    <row r="29" spans="1:22" x14ac:dyDescent="0.3">
      <c r="B29" s="4">
        <f>B9</f>
        <v>0</v>
      </c>
      <c r="D29" s="11">
        <f>MIN(C29,0.05)*$B$2*($D$2*$F$2/2*2/15)*B29</f>
        <v>0</v>
      </c>
      <c r="F29" s="11">
        <f>MIN(E29,0.05)*$B$2*($D$2*$F$2/2*2/15)*B29</f>
        <v>0</v>
      </c>
      <c r="H29" s="11">
        <f>MIN(G29,0.05)*$B$2*($D$2*$F$2/2*2/15)*B29</f>
        <v>0</v>
      </c>
      <c r="I29" s="4"/>
      <c r="J29" s="11">
        <f>MIN(I29,0.05)*$B$2*($D$2*$F$2/2*2/15)*B29</f>
        <v>0</v>
      </c>
      <c r="K29" s="4"/>
      <c r="L29" s="11">
        <f>MIN(K29,0.05)*$B$2*($D$2*$F$2/2*2/15)*B29</f>
        <v>0</v>
      </c>
      <c r="M29" s="4"/>
      <c r="N29" s="11">
        <f>MIN(M29,0.05)*$B$2*($D$2*$F$2/2*2/15)*B29</f>
        <v>0</v>
      </c>
      <c r="O29" s="4"/>
      <c r="P29" s="11">
        <f>MIN(O29,0.05)*$B$2*($D$2*$F$2/2*2/15)*B29</f>
        <v>0</v>
      </c>
      <c r="Q29" s="4"/>
      <c r="R29" s="11">
        <f>MIN(Q29,0.05)*$B$2*($D$2*$F$2/2*2/15)*B29</f>
        <v>0</v>
      </c>
      <c r="S29" s="4"/>
      <c r="T29" s="11">
        <f>MIN(S29,0.05)*$B$2*($D$2*$F$2/2*2/15)*B29</f>
        <v>0</v>
      </c>
      <c r="U29" s="4"/>
      <c r="V29" s="11">
        <f>MIN(U29,0.05)*$B$2*($D$2*$F$2/2*2/15)*B29</f>
        <v>0</v>
      </c>
    </row>
    <row r="30" spans="1:22" x14ac:dyDescent="0.3">
      <c r="B30" s="16" t="s">
        <v>76</v>
      </c>
      <c r="C30" s="4" t="s">
        <v>73</v>
      </c>
      <c r="D30" s="11">
        <f>SUM(D9:D29)</f>
        <v>354622.29599999997</v>
      </c>
      <c r="E30" s="4" t="s">
        <v>73</v>
      </c>
      <c r="F30" s="11">
        <f>SUM(F9:F29)</f>
        <v>709021.62379999994</v>
      </c>
      <c r="G30" s="4" t="s">
        <v>73</v>
      </c>
      <c r="H30" s="11">
        <f>SUM(H9:H29)</f>
        <v>1065347.2326</v>
      </c>
      <c r="I30" s="4" t="s">
        <v>73</v>
      </c>
      <c r="J30" s="11">
        <f>SUM(J9:J29)</f>
        <v>1405397.4661999999</v>
      </c>
      <c r="K30" s="4" t="s">
        <v>73</v>
      </c>
      <c r="L30" s="11">
        <f>SUM(L9:L29)</f>
        <v>1731124.1248000001</v>
      </c>
      <c r="M30" s="4" t="s">
        <v>73</v>
      </c>
      <c r="N30" s="11">
        <f>SUM(N9:N29)</f>
        <v>1894712.19</v>
      </c>
      <c r="O30" s="4" t="s">
        <v>73</v>
      </c>
      <c r="P30" s="11">
        <f>SUM(P9:P29)</f>
        <v>2004460.3193999999</v>
      </c>
      <c r="Q30" s="4" t="s">
        <v>73</v>
      </c>
      <c r="R30" s="11">
        <f>SUM(R9:R29)</f>
        <v>2080083.9948</v>
      </c>
      <c r="S30" s="4" t="s">
        <v>73</v>
      </c>
      <c r="T30" s="11">
        <f>SUM(T9:T29)</f>
        <v>2119051.1356000002</v>
      </c>
      <c r="U30" s="4" t="s">
        <v>73</v>
      </c>
      <c r="V30" s="11">
        <f>SUM(V9:V29)</f>
        <v>2152253.3857999998</v>
      </c>
    </row>
    <row r="31" spans="1:22" x14ac:dyDescent="0.3">
      <c r="B31" s="16"/>
      <c r="C31" s="4" t="s">
        <v>74</v>
      </c>
      <c r="D31" s="11">
        <f>4*D30/$J$2</f>
        <v>4728.2972799999998</v>
      </c>
      <c r="E31" s="4" t="s">
        <v>74</v>
      </c>
      <c r="F31" s="11">
        <f>4*F30/$J$2</f>
        <v>9453.621650666666</v>
      </c>
      <c r="G31" s="4" t="s">
        <v>74</v>
      </c>
      <c r="H31" s="11">
        <f>4*H30/$J$2</f>
        <v>14204.629768000001</v>
      </c>
      <c r="I31" s="4" t="s">
        <v>74</v>
      </c>
      <c r="J31" s="11">
        <f>4*J30/$J$2</f>
        <v>18738.632882666665</v>
      </c>
      <c r="K31" s="4" t="s">
        <v>74</v>
      </c>
      <c r="L31" s="11">
        <f>4*L30/$J$2</f>
        <v>23081.654997333335</v>
      </c>
      <c r="M31" s="4" t="s">
        <v>74</v>
      </c>
      <c r="N31" s="11">
        <f>4*N30/$J$2</f>
        <v>25262.8292</v>
      </c>
      <c r="O31" s="4" t="s">
        <v>74</v>
      </c>
      <c r="P31" s="11">
        <f>4*P30/$J$2</f>
        <v>26726.137591999999</v>
      </c>
      <c r="Q31" s="4" t="s">
        <v>74</v>
      </c>
      <c r="R31" s="11">
        <f>4*R30/$J$2</f>
        <v>27734.453264</v>
      </c>
      <c r="S31" s="4" t="s">
        <v>74</v>
      </c>
      <c r="T31" s="11">
        <f>4*T30/$J$2</f>
        <v>28254.015141333337</v>
      </c>
      <c r="U31" s="4" t="s">
        <v>74</v>
      </c>
      <c r="V31" s="11">
        <f>4*V30/$J$2</f>
        <v>28696.711810666664</v>
      </c>
    </row>
    <row r="32" spans="1:22" x14ac:dyDescent="0.3">
      <c r="B32" s="15"/>
      <c r="D32" s="11"/>
      <c r="F32" s="11"/>
      <c r="H32" s="11"/>
      <c r="I32" s="4"/>
      <c r="J32" s="11"/>
      <c r="K32" s="4"/>
      <c r="L32" s="11"/>
      <c r="M32" s="4"/>
      <c r="N32" s="11"/>
      <c r="O32" s="4"/>
      <c r="P32" s="11"/>
      <c r="Q32" s="4"/>
      <c r="R32" s="11"/>
      <c r="S32" s="4"/>
      <c r="T32" s="11"/>
      <c r="U32" s="4"/>
      <c r="V32" s="11"/>
    </row>
    <row r="33" spans="1:22" x14ac:dyDescent="0.3">
      <c r="C33" s="4" t="s">
        <v>77</v>
      </c>
      <c r="D33" s="4" t="s">
        <v>78</v>
      </c>
      <c r="E33" s="4" t="s">
        <v>77</v>
      </c>
      <c r="F33" s="4" t="s">
        <v>78</v>
      </c>
      <c r="G33" s="4" t="s">
        <v>77</v>
      </c>
      <c r="H33" s="4" t="s">
        <v>78</v>
      </c>
      <c r="I33" s="4" t="s">
        <v>77</v>
      </c>
      <c r="J33" s="4" t="s">
        <v>78</v>
      </c>
      <c r="K33" s="4" t="s">
        <v>77</v>
      </c>
      <c r="L33" s="4" t="s">
        <v>78</v>
      </c>
      <c r="M33" s="4" t="s">
        <v>77</v>
      </c>
      <c r="N33" s="4" t="s">
        <v>78</v>
      </c>
      <c r="O33" s="4" t="s">
        <v>77</v>
      </c>
      <c r="P33" s="4" t="s">
        <v>78</v>
      </c>
      <c r="Q33" s="4" t="s">
        <v>77</v>
      </c>
      <c r="R33" s="4" t="s">
        <v>78</v>
      </c>
      <c r="S33" s="4" t="s">
        <v>77</v>
      </c>
      <c r="T33" s="4" t="s">
        <v>78</v>
      </c>
      <c r="U33" s="4" t="s">
        <v>77</v>
      </c>
      <c r="V33" s="4" t="s">
        <v>78</v>
      </c>
    </row>
    <row r="34" spans="1:22" x14ac:dyDescent="0.3">
      <c r="A34">
        <v>10</v>
      </c>
      <c r="C34" s="14"/>
      <c r="D34" s="11">
        <f>C34*($D$2*$F$2/2*2/15)*B34</f>
        <v>0</v>
      </c>
      <c r="E34" s="14"/>
      <c r="F34" s="11">
        <f>E34*($D$2*$F$2/2*2/15)*B34</f>
        <v>0</v>
      </c>
      <c r="G34" s="14"/>
      <c r="H34" s="11">
        <f>G34*($D$2*$F$2/2*2/15)*B34</f>
        <v>0</v>
      </c>
      <c r="I34" s="14"/>
      <c r="J34" s="11">
        <f>I34*($D$2*$F$2/2*2/15)*B34</f>
        <v>0</v>
      </c>
      <c r="K34" s="14"/>
      <c r="L34" s="11">
        <f>K34*($D$2*$F$2/2*2/15)*B34</f>
        <v>0</v>
      </c>
      <c r="M34" s="14"/>
      <c r="N34" s="11">
        <f>M34*($D$2*$F$2/2*2/15)*B34</f>
        <v>0</v>
      </c>
      <c r="O34" s="14"/>
      <c r="P34" s="11">
        <f>O34*($D$2*$F$2/2*2/15)*B34</f>
        <v>0</v>
      </c>
      <c r="Q34" s="14"/>
      <c r="R34" s="11">
        <f>Q34*($D$2*$F$2/2*2/15)*B34</f>
        <v>0</v>
      </c>
      <c r="S34" s="14"/>
      <c r="T34" s="11">
        <f>S34*($D$2*$F$2/2*2/15)*B34</f>
        <v>0</v>
      </c>
      <c r="U34" s="14"/>
      <c r="V34" s="11">
        <f>U34*($D$2*$F$2/2*2/15)*B34</f>
        <v>0</v>
      </c>
    </row>
    <row r="35" spans="1:22" x14ac:dyDescent="0.3">
      <c r="A35">
        <v>9</v>
      </c>
      <c r="C35" s="14"/>
      <c r="D35" s="11">
        <f>C35*($D$2*$F$2/2*2/15)*B35</f>
        <v>0</v>
      </c>
      <c r="E35" s="14"/>
      <c r="F35" s="11">
        <f>E35*($D$2*$F$2/2*2/15)*B35</f>
        <v>0</v>
      </c>
      <c r="G35" s="14"/>
      <c r="H35" s="11">
        <f>G35*($D$2*$F$2/2*2/15)*B35</f>
        <v>0</v>
      </c>
      <c r="I35" s="14"/>
      <c r="J35" s="11">
        <f>I35*($D$2*$F$2/2*2/15)*B35</f>
        <v>0</v>
      </c>
      <c r="K35" s="14"/>
      <c r="L35" s="11">
        <f>K35*($D$2*$F$2/2*2/15)*B35</f>
        <v>0</v>
      </c>
      <c r="M35" s="14"/>
      <c r="N35" s="11">
        <f>M35*($D$2*$F$2/2*2/15)*B35</f>
        <v>0</v>
      </c>
      <c r="O35" s="14"/>
      <c r="P35" s="11">
        <f>O35*($D$2*$F$2/2*2/15)*B35</f>
        <v>0</v>
      </c>
      <c r="Q35" s="14"/>
      <c r="R35" s="11">
        <f>Q35*($D$2*$F$2/2*2/15)*B35</f>
        <v>0</v>
      </c>
      <c r="S35" s="14"/>
      <c r="T35" s="11">
        <f>S35*($D$2*$F$2/2*2/15)*B35</f>
        <v>0</v>
      </c>
      <c r="U35" s="14"/>
      <c r="V35" s="11">
        <f>U35*($D$2*$F$2/2*2/15)*B35</f>
        <v>0</v>
      </c>
    </row>
    <row r="36" spans="1:22" x14ac:dyDescent="0.3">
      <c r="A36">
        <v>8</v>
      </c>
      <c r="C36" s="14"/>
      <c r="D36" s="11">
        <f>C36*($D$2*$F$2/2*2/15)*B36</f>
        <v>0</v>
      </c>
      <c r="E36" s="14"/>
      <c r="F36" s="11">
        <f>E36*($D$2*$F$2/2*2/15)*B36</f>
        <v>0</v>
      </c>
      <c r="G36" s="14"/>
      <c r="H36" s="11">
        <f>G36*($D$2*$F$2/2*2/15)*B36</f>
        <v>0</v>
      </c>
      <c r="I36" s="14"/>
      <c r="J36" s="11">
        <f>I36*($D$2*$F$2/2*2/15)*B36</f>
        <v>0</v>
      </c>
      <c r="K36" s="14"/>
      <c r="L36" s="11">
        <f>K36*($D$2*$F$2/2*2/15)*B36</f>
        <v>0</v>
      </c>
      <c r="M36" s="14"/>
      <c r="N36" s="11">
        <f>M36*($D$2*$F$2/2*2/15)*B36</f>
        <v>0</v>
      </c>
      <c r="O36" s="14"/>
      <c r="P36" s="11">
        <f>O36*($D$2*$F$2/2*2/15)*B36</f>
        <v>0</v>
      </c>
      <c r="Q36" s="14"/>
      <c r="R36" s="11">
        <f>Q36*($D$2*$F$2/2*2/15)*B36</f>
        <v>0</v>
      </c>
      <c r="S36" s="14"/>
      <c r="T36" s="11">
        <f>S36*($D$2*$F$2/2*2/15)*B36</f>
        <v>0</v>
      </c>
      <c r="U36" s="14"/>
      <c r="V36" s="11">
        <f>U36*($D$2*$F$2/2*2/15)*B36</f>
        <v>0</v>
      </c>
    </row>
    <row r="37" spans="1:22" x14ac:dyDescent="0.3">
      <c r="A37">
        <v>7</v>
      </c>
      <c r="B37" s="4">
        <v>16.329999999999998</v>
      </c>
      <c r="C37" s="14">
        <f>MIN(C12,0.05)*$B$2</f>
        <v>53.699999999999996</v>
      </c>
      <c r="D37" s="11">
        <f>C37*($D$2*$F$2/2*2/15)*B37</f>
        <v>61384.469999999987</v>
      </c>
      <c r="E37" s="14">
        <f>MIN(E12,0.05)*$B$2</f>
        <v>107.714</v>
      </c>
      <c r="F37" s="11">
        <f>E37*($D$2*$F$2/2*2/15)*B37</f>
        <v>123127.87339999998</v>
      </c>
      <c r="G37" s="14">
        <f>MIN(G12,0.05)*$B$2</f>
        <v>162.4</v>
      </c>
      <c r="H37" s="11">
        <f>G37*($D$2*$F$2/2*2/15)*B37</f>
        <v>185639.43999999997</v>
      </c>
      <c r="I37" s="14">
        <f>MIN(I12,0.05)*$B$2</f>
        <v>215.19900000000001</v>
      </c>
      <c r="J37" s="11">
        <f>I37*($D$2*$F$2/2*2/15)*B37</f>
        <v>245993.97689999998</v>
      </c>
      <c r="K37" s="14">
        <f>MIN(K12,0.05)*$B$2</f>
        <v>250</v>
      </c>
      <c r="L37" s="11">
        <f>K37*($D$2*$F$2/2*2/15)*B37</f>
        <v>285774.99999999994</v>
      </c>
      <c r="M37" s="14">
        <f>MIN(M12,0.05)*$B$2</f>
        <v>250</v>
      </c>
      <c r="N37" s="11">
        <f>M37*($D$2*$F$2/2*2/15)*B37</f>
        <v>285774.99999999994</v>
      </c>
      <c r="O37" s="14">
        <f>MIN(O12,0.05)*$B$2</f>
        <v>250</v>
      </c>
      <c r="P37" s="11">
        <f>O37*($D$2*$F$2/2*2/15)*B37</f>
        <v>285774.99999999994</v>
      </c>
      <c r="Q37" s="14">
        <f>MIN(Q12,0.05)*$B$2</f>
        <v>250</v>
      </c>
      <c r="R37" s="11">
        <f>Q37*($D$2*$F$2/2*2/15)*B37</f>
        <v>285774.99999999994</v>
      </c>
      <c r="S37" s="14">
        <f>MIN(S12,0.05)*$B$2</f>
        <v>250</v>
      </c>
      <c r="T37" s="11">
        <f>S37*($D$2*$F$2/2*2/15)*B37</f>
        <v>285774.99999999994</v>
      </c>
      <c r="U37" s="14">
        <f>MIN(U12,0.05)*$B$2</f>
        <v>250</v>
      </c>
      <c r="V37" s="11">
        <f>U37*($D$2*$F$2/2*2/15)*B37</f>
        <v>285774.99999999994</v>
      </c>
    </row>
    <row r="38" spans="1:22" x14ac:dyDescent="0.3">
      <c r="A38">
        <v>6</v>
      </c>
      <c r="B38" s="4">
        <v>14</v>
      </c>
      <c r="C38" s="14">
        <f>MIN(C13,0.05)*$B$2</f>
        <v>47.265000000000001</v>
      </c>
      <c r="D38" s="11">
        <f>C38*($D$2*$F$2/2*2/15)*B38</f>
        <v>46319.700000000004</v>
      </c>
      <c r="E38" s="14">
        <f>MIN(E13,0.05)*$B$2</f>
        <v>94.668999999999997</v>
      </c>
      <c r="F38" s="11">
        <f>E38*($D$2*$F$2/2*2/15)*B38</f>
        <v>92775.62</v>
      </c>
      <c r="G38" s="14">
        <f>MIN(G13,0.05)*$B$2</f>
        <v>139.273</v>
      </c>
      <c r="H38" s="11">
        <f>G38*($D$2*$F$2/2*2/15)*B38</f>
        <v>136487.54</v>
      </c>
      <c r="I38" s="14">
        <f>MIN(I13,0.05)*$B$2</f>
        <v>184.33499999999998</v>
      </c>
      <c r="J38" s="11">
        <f>I38*($D$2*$F$2/2*2/15)*B38</f>
        <v>180648.3</v>
      </c>
      <c r="K38" s="14">
        <f>MIN(K13,0.05)*$B$2</f>
        <v>232.441</v>
      </c>
      <c r="L38" s="11">
        <f>K38*($D$2*$F$2/2*2/15)*B38</f>
        <v>227792.18000000002</v>
      </c>
      <c r="M38" s="14">
        <f>MIN(M13,0.05)*$B$2</f>
        <v>250</v>
      </c>
      <c r="N38" s="11">
        <f>M38*($D$2*$F$2/2*2/15)*B38</f>
        <v>245000</v>
      </c>
      <c r="O38" s="14">
        <f>MIN(O13,0.05)*$B$2</f>
        <v>250</v>
      </c>
      <c r="P38" s="11">
        <f>O38*($D$2*$F$2/2*2/15)*B38</f>
        <v>245000</v>
      </c>
      <c r="Q38" s="14">
        <f>MIN(Q13,0.05)*$B$2</f>
        <v>250</v>
      </c>
      <c r="R38" s="11">
        <f>Q38*($D$2*$F$2/2*2/15)*B38</f>
        <v>245000</v>
      </c>
      <c r="S38" s="14">
        <f>MIN(S13,0.05)*$B$2</f>
        <v>250</v>
      </c>
      <c r="T38" s="11">
        <f>S38*($D$2*$F$2/2*2/15)*B38</f>
        <v>245000</v>
      </c>
      <c r="U38" s="14">
        <f>MIN(U13,0.05)*$B$2</f>
        <v>250</v>
      </c>
      <c r="V38" s="11">
        <f>U38*($D$2*$F$2/2*2/15)*B38</f>
        <v>245000</v>
      </c>
    </row>
    <row r="39" spans="1:22" x14ac:dyDescent="0.3">
      <c r="A39">
        <v>5</v>
      </c>
      <c r="B39" s="4">
        <v>11.67</v>
      </c>
      <c r="C39" s="14">
        <f>MIN(C14,0.05)*$B$2</f>
        <v>38.998000000000005</v>
      </c>
      <c r="D39" s="11">
        <f>C39*($D$2*$F$2/2*2/15)*B39</f>
        <v>31857.466200000003</v>
      </c>
      <c r="E39" s="14">
        <f>MIN(E14,0.05)*$B$2</f>
        <v>76.385000000000005</v>
      </c>
      <c r="F39" s="11">
        <f>E39*($D$2*$F$2/2*2/15)*B39</f>
        <v>62398.906500000005</v>
      </c>
      <c r="G39" s="14">
        <f>MIN(G14,0.05)*$B$2</f>
        <v>116.9045</v>
      </c>
      <c r="H39" s="11">
        <f>G39*($D$2*$F$2/2*2/15)*B39</f>
        <v>95499.286049999995</v>
      </c>
      <c r="I39" s="14">
        <f>MIN(I14,0.05)*$B$2</f>
        <v>154.07749999999999</v>
      </c>
      <c r="J39" s="11">
        <f>I39*($D$2*$F$2/2*2/15)*B39</f>
        <v>125865.90974999999</v>
      </c>
      <c r="K39" s="14">
        <f>MIN(K14,0.05)*$B$2</f>
        <v>194.9975</v>
      </c>
      <c r="L39" s="11">
        <f>K39*($D$2*$F$2/2*2/15)*B39</f>
        <v>159293.45775</v>
      </c>
      <c r="M39" s="14">
        <f>MIN(M14,0.05)*$B$2</f>
        <v>230.321</v>
      </c>
      <c r="N39" s="11">
        <f>M39*($D$2*$F$2/2*2/15)*B39</f>
        <v>188149.2249</v>
      </c>
      <c r="O39" s="14">
        <f>MIN(O14,0.05)*$B$2</f>
        <v>250</v>
      </c>
      <c r="P39" s="11">
        <f>O39*($D$2*$F$2/2*2/15)*B39</f>
        <v>204225</v>
      </c>
      <c r="Q39" s="14">
        <f>MIN(Q14,0.05)*$B$2</f>
        <v>250</v>
      </c>
      <c r="R39" s="11">
        <f>Q39*($D$2*$F$2/2*2/15)*B39</f>
        <v>204225</v>
      </c>
      <c r="S39" s="14">
        <f>MIN(S14,0.05)*$B$2</f>
        <v>250</v>
      </c>
      <c r="T39" s="11">
        <f>S39*($D$2*$F$2/2*2/15)*B39</f>
        <v>204225</v>
      </c>
      <c r="U39" s="14">
        <f>MIN(U14,0.05)*$B$2</f>
        <v>250</v>
      </c>
      <c r="V39" s="11">
        <f>U39*($D$2*$F$2/2*2/15)*B39</f>
        <v>204225</v>
      </c>
    </row>
    <row r="40" spans="1:22" x14ac:dyDescent="0.3">
      <c r="A40">
        <v>4</v>
      </c>
      <c r="B40" s="4">
        <v>9.33</v>
      </c>
      <c r="C40" s="14">
        <f>MIN(C15,0.05)*$B$2</f>
        <v>31.041499999999999</v>
      </c>
      <c r="D40" s="11">
        <f>C40*($D$2*$F$2/2*2/15)*B40</f>
        <v>20273.203649999999</v>
      </c>
      <c r="E40" s="14">
        <f>MIN(E15,0.05)*$B$2</f>
        <v>63.021500000000003</v>
      </c>
      <c r="F40" s="11">
        <f>E40*($D$2*$F$2/2*2/15)*B40</f>
        <v>41159.341650000002</v>
      </c>
      <c r="G40" s="14">
        <f>MIN(G15,0.05)*$B$2</f>
        <v>94.831499999999991</v>
      </c>
      <c r="H40" s="11">
        <f>G40*($D$2*$F$2/2*2/15)*B40</f>
        <v>61934.452649999992</v>
      </c>
      <c r="I40" s="14">
        <f>MIN(I15,0.05)*$B$2</f>
        <v>121.7795</v>
      </c>
      <c r="J40" s="11">
        <f>I40*($D$2*$F$2/2*2/15)*B40</f>
        <v>79534.191449999998</v>
      </c>
      <c r="K40" s="14">
        <f>MIN(K15,0.05)*$B$2</f>
        <v>157.59649999999999</v>
      </c>
      <c r="L40" s="11">
        <f>K40*($D$2*$F$2/2*2/15)*B40</f>
        <v>102926.27415</v>
      </c>
      <c r="M40" s="14">
        <f>MIN(M15,0.05)*$B$2</f>
        <v>188.11799999999999</v>
      </c>
      <c r="N40" s="11">
        <f>M40*($D$2*$F$2/2*2/15)*B40</f>
        <v>122859.8658</v>
      </c>
      <c r="O40" s="14">
        <f>MIN(O15,0.05)*$B$2</f>
        <v>217.98399999999998</v>
      </c>
      <c r="P40" s="11">
        <f>O40*($D$2*$F$2/2*2/15)*B40</f>
        <v>142365.3504</v>
      </c>
      <c r="Q40" s="14">
        <f>MIN(Q15,0.05)*$B$2</f>
        <v>250</v>
      </c>
      <c r="R40" s="11">
        <f>Q40*($D$2*$F$2/2*2/15)*B40</f>
        <v>163275</v>
      </c>
      <c r="S40" s="14">
        <f>MIN(S15,0.05)*$B$2</f>
        <v>250</v>
      </c>
      <c r="T40" s="11">
        <f>S40*($D$2*$F$2/2*2/15)*B40</f>
        <v>163275</v>
      </c>
      <c r="U40" s="14">
        <f>MIN(U15,0.05)*$B$2</f>
        <v>250</v>
      </c>
      <c r="V40" s="11">
        <f>U40*($D$2*$F$2/2*2/15)*B40</f>
        <v>163275</v>
      </c>
    </row>
    <row r="41" spans="1:22" x14ac:dyDescent="0.3">
      <c r="A41">
        <v>3</v>
      </c>
      <c r="B41" s="4">
        <v>7</v>
      </c>
      <c r="C41" s="14">
        <f>MIN(C16,0.05)*$B$2</f>
        <v>22.843</v>
      </c>
      <c r="D41" s="11">
        <f>C41*($D$2*$F$2/2*2/15)*B41</f>
        <v>11193.07</v>
      </c>
      <c r="E41" s="14">
        <f>MIN(E16,0.05)*$B$2</f>
        <v>45.718499999999999</v>
      </c>
      <c r="F41" s="11">
        <f>E41*($D$2*$F$2/2*2/15)*B41</f>
        <v>22402.065000000002</v>
      </c>
      <c r="G41" s="14">
        <f>MIN(G16,0.05)*$B$2</f>
        <v>68.983999999999995</v>
      </c>
      <c r="H41" s="11">
        <f>G41*($D$2*$F$2/2*2/15)*B41</f>
        <v>33802.159999999996</v>
      </c>
      <c r="I41" s="14">
        <f>MIN(I16,0.05)*$B$2</f>
        <v>93.739500000000007</v>
      </c>
      <c r="J41" s="11">
        <f>I41*($D$2*$F$2/2*2/15)*B41</f>
        <v>45932.355000000003</v>
      </c>
      <c r="K41" s="14">
        <f>MIN(K16,0.05)*$B$2</f>
        <v>117.5945</v>
      </c>
      <c r="L41" s="11">
        <f>K41*($D$2*$F$2/2*2/15)*B41</f>
        <v>57621.305</v>
      </c>
      <c r="M41" s="14">
        <f>MIN(M16,0.05)*$B$2</f>
        <v>137.66300000000001</v>
      </c>
      <c r="N41" s="11">
        <f>M41*($D$2*$F$2/2*2/15)*B41</f>
        <v>67454.87</v>
      </c>
      <c r="O41" s="14">
        <f>MIN(O16,0.05)*$B$2</f>
        <v>164.2165</v>
      </c>
      <c r="P41" s="11">
        <f>O41*($D$2*$F$2/2*2/15)*B41</f>
        <v>80466.084999999992</v>
      </c>
      <c r="Q41" s="14">
        <f>MIN(Q16,0.05)*$B$2</f>
        <v>186.39</v>
      </c>
      <c r="R41" s="11">
        <f>Q41*($D$2*$F$2/2*2/15)*B41</f>
        <v>91331.099999999991</v>
      </c>
      <c r="S41" s="14">
        <f>MIN(S16,0.05)*$B$2</f>
        <v>211.1285</v>
      </c>
      <c r="T41" s="11">
        <f>S41*($D$2*$F$2/2*2/15)*B41</f>
        <v>103452.96500000001</v>
      </c>
      <c r="U41" s="14">
        <f>MIN(U16,0.05)*$B$2</f>
        <v>234.637</v>
      </c>
      <c r="V41" s="11">
        <f>U41*($D$2*$F$2/2*2/15)*B41</f>
        <v>114972.13</v>
      </c>
    </row>
    <row r="42" spans="1:22" x14ac:dyDescent="0.3">
      <c r="A42">
        <v>2</v>
      </c>
      <c r="B42" s="4">
        <v>4.67</v>
      </c>
      <c r="C42" s="14">
        <f>MIN(C17,0.05)*$B$2</f>
        <v>15.456999999999999</v>
      </c>
      <c r="D42" s="11">
        <f>C42*($D$2*$F$2/2*2/15)*B42</f>
        <v>5052.8932999999997</v>
      </c>
      <c r="E42" s="14">
        <f>MIN(E17,0.05)*$B$2</f>
        <v>30.97</v>
      </c>
      <c r="F42" s="11">
        <f>E42*($D$2*$F$2/2*2/15)*B42</f>
        <v>10124.093000000001</v>
      </c>
      <c r="G42" s="14">
        <f>MIN(G17,0.05)*$B$2</f>
        <v>47.4495</v>
      </c>
      <c r="H42" s="11">
        <f>G42*($D$2*$F$2/2*2/15)*B42</f>
        <v>15511.241550000001</v>
      </c>
      <c r="I42" s="14">
        <f>MIN(I17,0.05)*$B$2</f>
        <v>60.459499999999998</v>
      </c>
      <c r="J42" s="11">
        <f>I42*($D$2*$F$2/2*2/15)*B42</f>
        <v>19764.21055</v>
      </c>
      <c r="K42" s="14">
        <f>MIN(K17,0.05)*$B$2</f>
        <v>79.08250000000001</v>
      </c>
      <c r="L42" s="11">
        <f>K42*($D$2*$F$2/2*2/15)*B42</f>
        <v>25852.06925</v>
      </c>
      <c r="M42" s="14">
        <f>MIN(M17,0.05)*$B$2</f>
        <v>93.216999999999999</v>
      </c>
      <c r="N42" s="11">
        <f>M42*($D$2*$F$2/2*2/15)*B42</f>
        <v>30472.637299999999</v>
      </c>
      <c r="O42" s="14">
        <f>MIN(O17,0.05)*$B$2</f>
        <v>108.88250000000001</v>
      </c>
      <c r="P42" s="11">
        <f>O42*($D$2*$F$2/2*2/15)*B42</f>
        <v>35593.689250000003</v>
      </c>
      <c r="Q42" s="14">
        <f>MIN(Q17,0.05)*$B$2</f>
        <v>124.182</v>
      </c>
      <c r="R42" s="11">
        <f>Q42*($D$2*$F$2/2*2/15)*B42</f>
        <v>40595.095799999996</v>
      </c>
      <c r="S42" s="14">
        <f>MIN(S17,0.05)*$B$2</f>
        <v>142.50649999999999</v>
      </c>
      <c r="T42" s="11">
        <f>S42*($D$2*$F$2/2*2/15)*B42</f>
        <v>46585.37485</v>
      </c>
      <c r="U42" s="14">
        <f>MIN(U17,0.05)*$B$2</f>
        <v>153.93600000000001</v>
      </c>
      <c r="V42" s="11">
        <f>U42*($D$2*$F$2/2*2/15)*B42</f>
        <v>50321.678400000004</v>
      </c>
    </row>
    <row r="43" spans="1:22" x14ac:dyDescent="0.3">
      <c r="A43">
        <v>1</v>
      </c>
      <c r="B43" s="4">
        <v>2.33</v>
      </c>
      <c r="C43" s="14">
        <f>MIN(C18,0.05)*$B$2</f>
        <v>7.5434999999999999</v>
      </c>
      <c r="D43" s="11">
        <f>C43*($D$2*$F$2/2*2/15)*B43</f>
        <v>1230.34485</v>
      </c>
      <c r="E43" s="14">
        <f>MIN(E18,0.05)*$B$2</f>
        <v>15.468500000000001</v>
      </c>
      <c r="F43" s="11">
        <f>E43*($D$2*$F$2/2*2/15)*B43</f>
        <v>2522.9123500000001</v>
      </c>
      <c r="G43" s="14">
        <f>MIN(G18,0.05)*$B$2</f>
        <v>23.295500000000001</v>
      </c>
      <c r="H43" s="11">
        <f>G43*($D$2*$F$2/2*2/15)*B43</f>
        <v>3799.4960500000002</v>
      </c>
      <c r="I43" s="14">
        <f>MIN(I18,0.05)*$B$2</f>
        <v>30.409500000000001</v>
      </c>
      <c r="J43" s="11">
        <f>I43*($D$2*$F$2/2*2/15)*B43</f>
        <v>4959.7894500000002</v>
      </c>
      <c r="K43" s="14">
        <f>MIN(K18,0.05)*$B$2</f>
        <v>38.637500000000003</v>
      </c>
      <c r="L43" s="11">
        <f>K43*($D$2*$F$2/2*2/15)*B43</f>
        <v>6301.7762499999999</v>
      </c>
      <c r="M43" s="14">
        <f>MIN(M18,0.05)*$B$2</f>
        <v>46.870000000000005</v>
      </c>
      <c r="N43" s="11">
        <f>M43*($D$2*$F$2/2*2/15)*B43</f>
        <v>7644.4970000000012</v>
      </c>
      <c r="O43" s="14">
        <f>MIN(O18,0.05)*$B$2</f>
        <v>53.985500000000002</v>
      </c>
      <c r="P43" s="11">
        <f>O43*($D$2*$F$2/2*2/15)*B43</f>
        <v>8805.0350500000004</v>
      </c>
      <c r="Q43" s="14">
        <f>MIN(Q18,0.05)*$B$2</f>
        <v>60.335999999999999</v>
      </c>
      <c r="R43" s="11">
        <f>Q43*($D$2*$F$2/2*2/15)*B43</f>
        <v>9840.8015999999989</v>
      </c>
      <c r="S43" s="14">
        <f>MIN(S18,0.05)*$B$2</f>
        <v>68.744500000000002</v>
      </c>
      <c r="T43" s="11">
        <f>S43*($D$2*$F$2/2*2/15)*B43</f>
        <v>11212.22795</v>
      </c>
      <c r="U43" s="14">
        <f>MIN(U18,0.05)*$B$2</f>
        <v>76.995000000000005</v>
      </c>
      <c r="V43" s="11">
        <f>U43*($D$2*$F$2/2*2/15)*B43</f>
        <v>12557.884500000002</v>
      </c>
    </row>
    <row r="44" spans="1:22" x14ac:dyDescent="0.3">
      <c r="A44">
        <v>0</v>
      </c>
      <c r="B44" s="4">
        <v>0</v>
      </c>
      <c r="C44" s="14">
        <f>MIN(C19,0.05)*$B$2</f>
        <v>0</v>
      </c>
      <c r="D44" s="11">
        <f>C44*($D$2*$F$2/2*2/15)*B44</f>
        <v>0</v>
      </c>
      <c r="E44" s="14">
        <f>MIN(E19,0.05)*$B$2</f>
        <v>0</v>
      </c>
      <c r="F44" s="11">
        <f>E44*($D$2*$F$2/2*2/15)*B44</f>
        <v>0</v>
      </c>
      <c r="G44" s="14">
        <f>MIN(G19,0.05)*$B$2</f>
        <v>0</v>
      </c>
      <c r="H44" s="11">
        <f>G44*($D$2*$F$2/2*2/15)*B44</f>
        <v>0</v>
      </c>
      <c r="I44" s="14">
        <f>MIN(I19,0.05)*$B$2</f>
        <v>0</v>
      </c>
      <c r="J44" s="11">
        <f>I44*($D$2*$F$2/2*2/15)*B44</f>
        <v>0</v>
      </c>
      <c r="K44" s="14">
        <f>MIN(K19,0.05)*$B$2</f>
        <v>0</v>
      </c>
      <c r="L44" s="11">
        <f>K44*($D$2*$F$2/2*2/15)*B44</f>
        <v>0</v>
      </c>
      <c r="M44" s="14">
        <f>MIN(M19,0.05)*$B$2</f>
        <v>0</v>
      </c>
      <c r="N44" s="11">
        <f>M44*($D$2*$F$2/2*2/15)*B44</f>
        <v>0</v>
      </c>
      <c r="O44" s="14">
        <f>MIN(O19,0.05)*$B$2</f>
        <v>0</v>
      </c>
      <c r="P44" s="11">
        <f>O44*($D$2*$F$2/2*2/15)*B44</f>
        <v>0</v>
      </c>
      <c r="Q44" s="14">
        <f>MIN(Q19,0.05)*$B$2</f>
        <v>0</v>
      </c>
      <c r="R44" s="11">
        <f>Q44*($D$2*$F$2/2*2/15)*B44</f>
        <v>0</v>
      </c>
      <c r="S44" s="14">
        <f>MIN(S19,0.05)*$B$2</f>
        <v>0</v>
      </c>
      <c r="T44" s="11">
        <f>S44*($D$2*$F$2/2*2/15)*B44</f>
        <v>0</v>
      </c>
      <c r="U44" s="14">
        <f>MIN(U19,0.05)*$B$2</f>
        <v>0</v>
      </c>
      <c r="V44" s="11">
        <f>U44*($D$2*$F$2/2*2/15)*B44</f>
        <v>0</v>
      </c>
    </row>
    <row r="45" spans="1:22" x14ac:dyDescent="0.3">
      <c r="B45" s="4">
        <f>B43</f>
        <v>2.33</v>
      </c>
      <c r="C45" s="14">
        <f>MIN(C20,0.05)*$B$2</f>
        <v>7.5434999999999999</v>
      </c>
      <c r="D45" s="11">
        <f>C45*($D$2*$F$2/2*2/15)*B45</f>
        <v>1230.34485</v>
      </c>
      <c r="E45" s="14">
        <f>MIN(E20,0.05)*$B$2</f>
        <v>15.468500000000001</v>
      </c>
      <c r="F45" s="11">
        <f>E45*($D$2*$F$2/2*2/15)*B45</f>
        <v>2522.9123500000001</v>
      </c>
      <c r="G45" s="14">
        <f>MIN(G20,0.05)*$B$2</f>
        <v>23.295500000000001</v>
      </c>
      <c r="H45" s="11">
        <f>G45*($D$2*$F$2/2*2/15)*B45</f>
        <v>3799.4960500000002</v>
      </c>
      <c r="I45" s="14">
        <f>MIN(I20,0.05)*$B$2</f>
        <v>30.409500000000001</v>
      </c>
      <c r="J45" s="11">
        <f>I45*($D$2*$F$2/2*2/15)*B45</f>
        <v>4959.7894500000002</v>
      </c>
      <c r="K45" s="14">
        <f>MIN(K20,0.05)*$B$2</f>
        <v>38.637500000000003</v>
      </c>
      <c r="L45" s="11">
        <f>K45*($D$2*$F$2/2*2/15)*B45</f>
        <v>6301.7762499999999</v>
      </c>
      <c r="M45" s="14">
        <f>MIN(M20,0.05)*$B$2</f>
        <v>46.870000000000005</v>
      </c>
      <c r="N45" s="11">
        <f>M45*($D$2*$F$2/2*2/15)*B45</f>
        <v>7644.4970000000012</v>
      </c>
      <c r="O45" s="14">
        <f>MIN(O20,0.05)*$B$2</f>
        <v>53.985500000000002</v>
      </c>
      <c r="P45" s="11">
        <f>O45*($D$2*$F$2/2*2/15)*B45</f>
        <v>8805.0350500000004</v>
      </c>
      <c r="Q45" s="14">
        <f>MIN(Q20,0.05)*$B$2</f>
        <v>60.335999999999999</v>
      </c>
      <c r="R45" s="11">
        <f>Q45*($D$2*$F$2/2*2/15)*B45</f>
        <v>9840.8015999999989</v>
      </c>
      <c r="S45" s="14">
        <f>MIN(S20,0.05)*$B$2</f>
        <v>68.744500000000002</v>
      </c>
      <c r="T45" s="11">
        <f>S45*($D$2*$F$2/2*2/15)*B45</f>
        <v>11212.22795</v>
      </c>
      <c r="U45" s="14">
        <f>MIN(U20,0.05)*$B$2</f>
        <v>76.995000000000005</v>
      </c>
      <c r="V45" s="11">
        <f>U45*($D$2*$F$2/2*2/15)*B45</f>
        <v>12557.884500000002</v>
      </c>
    </row>
    <row r="46" spans="1:22" x14ac:dyDescent="0.3">
      <c r="B46" s="4">
        <f>B42</f>
        <v>4.67</v>
      </c>
      <c r="C46" s="14">
        <f>MIN(C21,0.05)*$B$2</f>
        <v>15.456999999999999</v>
      </c>
      <c r="D46" s="11">
        <f>C46*($D$2*$F$2/2*2/15)*B46</f>
        <v>5052.8932999999997</v>
      </c>
      <c r="E46" s="14">
        <f>MIN(E21,0.05)*$B$2</f>
        <v>30.97</v>
      </c>
      <c r="F46" s="11">
        <f>E46*($D$2*$F$2/2*2/15)*B46</f>
        <v>10124.093000000001</v>
      </c>
      <c r="G46" s="14">
        <f>MIN(G21,0.05)*$B$2</f>
        <v>47.4495</v>
      </c>
      <c r="H46" s="11">
        <f>G46*($D$2*$F$2/2*2/15)*B46</f>
        <v>15511.241550000001</v>
      </c>
      <c r="I46" s="14">
        <f>MIN(I21,0.05)*$B$2</f>
        <v>60.459499999999998</v>
      </c>
      <c r="J46" s="11">
        <f>I46*($D$2*$F$2/2*2/15)*B46</f>
        <v>19764.21055</v>
      </c>
      <c r="K46" s="14">
        <f>MIN(K21,0.05)*$B$2</f>
        <v>79.08250000000001</v>
      </c>
      <c r="L46" s="11">
        <f>K46*($D$2*$F$2/2*2/15)*B46</f>
        <v>25852.06925</v>
      </c>
      <c r="M46" s="14">
        <f>MIN(M21,0.05)*$B$2</f>
        <v>93.216999999999999</v>
      </c>
      <c r="N46" s="11">
        <f>M46*($D$2*$F$2/2*2/15)*B46</f>
        <v>30472.637299999999</v>
      </c>
      <c r="O46" s="14">
        <f>MIN(O21,0.05)*$B$2</f>
        <v>108.88250000000001</v>
      </c>
      <c r="P46" s="11">
        <f>O46*($D$2*$F$2/2*2/15)*B46</f>
        <v>35593.689250000003</v>
      </c>
      <c r="Q46" s="14">
        <f>MIN(Q21,0.05)*$B$2</f>
        <v>124.182</v>
      </c>
      <c r="R46" s="11">
        <f>Q46*($D$2*$F$2/2*2/15)*B46</f>
        <v>40595.095799999996</v>
      </c>
      <c r="S46" s="14">
        <f>MIN(S21,0.05)*$B$2</f>
        <v>142.50649999999999</v>
      </c>
      <c r="T46" s="11">
        <f>S46*($D$2*$F$2/2*2/15)*B46</f>
        <v>46585.37485</v>
      </c>
      <c r="U46" s="14">
        <f>MIN(U21,0.05)*$B$2</f>
        <v>153.93600000000001</v>
      </c>
      <c r="V46" s="11">
        <f>U46*($D$2*$F$2/2*2/15)*B46</f>
        <v>50321.678400000004</v>
      </c>
    </row>
    <row r="47" spans="1:22" x14ac:dyDescent="0.3">
      <c r="B47" s="4">
        <f>B41</f>
        <v>7</v>
      </c>
      <c r="C47" s="14">
        <f>MIN(C22,0.05)*$B$2</f>
        <v>22.843</v>
      </c>
      <c r="D47" s="11">
        <f>C47*($D$2*$F$2/2*2/15)*B47</f>
        <v>11193.07</v>
      </c>
      <c r="E47" s="14">
        <f>MIN(E22,0.05)*$B$2</f>
        <v>45.718499999999999</v>
      </c>
      <c r="F47" s="11">
        <f>E47*($D$2*$F$2/2*2/15)*B47</f>
        <v>22402.065000000002</v>
      </c>
      <c r="G47" s="14">
        <f>MIN(G22,0.05)*$B$2</f>
        <v>68.983999999999995</v>
      </c>
      <c r="H47" s="11">
        <f>G47*($D$2*$F$2/2*2/15)*B47</f>
        <v>33802.159999999996</v>
      </c>
      <c r="I47" s="14">
        <f>MIN(I22,0.05)*$B$2</f>
        <v>93.739500000000007</v>
      </c>
      <c r="J47" s="11">
        <f>I47*($D$2*$F$2/2*2/15)*B47</f>
        <v>45932.355000000003</v>
      </c>
      <c r="K47" s="14">
        <f>MIN(K22,0.05)*$B$2</f>
        <v>117.5945</v>
      </c>
      <c r="L47" s="11">
        <f>K47*($D$2*$F$2/2*2/15)*B47</f>
        <v>57621.305</v>
      </c>
      <c r="M47" s="14">
        <f>MIN(M22,0.05)*$B$2</f>
        <v>137.66300000000001</v>
      </c>
      <c r="N47" s="11">
        <f>M47*($D$2*$F$2/2*2/15)*B47</f>
        <v>67454.87</v>
      </c>
      <c r="O47" s="14">
        <f>MIN(O22,0.05)*$B$2</f>
        <v>164.2165</v>
      </c>
      <c r="P47" s="11">
        <f>O47*($D$2*$F$2/2*2/15)*B47</f>
        <v>80466.084999999992</v>
      </c>
      <c r="Q47" s="14">
        <f>MIN(Q22,0.05)*$B$2</f>
        <v>186.39</v>
      </c>
      <c r="R47" s="11">
        <f>Q47*($D$2*$F$2/2*2/15)*B47</f>
        <v>91331.099999999991</v>
      </c>
      <c r="S47" s="14">
        <f>MIN(S22,0.05)*$B$2</f>
        <v>211.1285</v>
      </c>
      <c r="T47" s="11">
        <f>S47*($D$2*$F$2/2*2/15)*B47</f>
        <v>103452.96500000001</v>
      </c>
      <c r="U47" s="14">
        <f>MIN(U22,0.05)*$B$2</f>
        <v>234.637</v>
      </c>
      <c r="V47" s="11">
        <f>U47*($D$2*$F$2/2*2/15)*B47</f>
        <v>114972.13</v>
      </c>
    </row>
    <row r="48" spans="1:22" x14ac:dyDescent="0.3">
      <c r="B48" s="4">
        <f>B40</f>
        <v>9.33</v>
      </c>
      <c r="C48" s="14">
        <f>MIN(C23,0.05)*$B$2</f>
        <v>31.041499999999999</v>
      </c>
      <c r="D48" s="11">
        <f>C48*($D$2*$F$2/2*2/15)*B48</f>
        <v>20273.203649999999</v>
      </c>
      <c r="E48" s="14">
        <f>MIN(E23,0.05)*$B$2</f>
        <v>63.021500000000003</v>
      </c>
      <c r="F48" s="11">
        <f>E48*($D$2*$F$2/2*2/15)*B48</f>
        <v>41159.341650000002</v>
      </c>
      <c r="G48" s="14">
        <f>MIN(G23,0.05)*$B$2</f>
        <v>94.831499999999991</v>
      </c>
      <c r="H48" s="11">
        <f>G48*($D$2*$F$2/2*2/15)*B48</f>
        <v>61934.452649999992</v>
      </c>
      <c r="I48" s="14">
        <f>MIN(I23,0.05)*$B$2</f>
        <v>121.7795</v>
      </c>
      <c r="J48" s="11">
        <f>I48*($D$2*$F$2/2*2/15)*B48</f>
        <v>79534.191449999998</v>
      </c>
      <c r="K48" s="14">
        <f>MIN(K23,0.05)*$B$2</f>
        <v>157.59649999999999</v>
      </c>
      <c r="L48" s="11">
        <f>K48*($D$2*$F$2/2*2/15)*B48</f>
        <v>102926.27415</v>
      </c>
      <c r="M48" s="14">
        <f>MIN(M23,0.05)*$B$2</f>
        <v>188.11799999999999</v>
      </c>
      <c r="N48" s="11">
        <f>M48*($D$2*$F$2/2*2/15)*B48</f>
        <v>122859.8658</v>
      </c>
      <c r="O48" s="14">
        <f>MIN(O23,0.05)*$B$2</f>
        <v>217.98399999999998</v>
      </c>
      <c r="P48" s="11">
        <f>O48*($D$2*$F$2/2*2/15)*B48</f>
        <v>142365.3504</v>
      </c>
      <c r="Q48" s="14">
        <f>MIN(Q23,0.05)*$B$2</f>
        <v>250</v>
      </c>
      <c r="R48" s="11">
        <f>Q48*($D$2*$F$2/2*2/15)*B48</f>
        <v>163275</v>
      </c>
      <c r="S48" s="14">
        <f>MIN(S23,0.05)*$B$2</f>
        <v>250</v>
      </c>
      <c r="T48" s="11">
        <f>S48*($D$2*$F$2/2*2/15)*B48</f>
        <v>163275</v>
      </c>
      <c r="U48" s="14">
        <f>MIN(U23,0.05)*$B$2</f>
        <v>250</v>
      </c>
      <c r="V48" s="11">
        <f>U48*($D$2*$F$2/2*2/15)*B48</f>
        <v>163275</v>
      </c>
    </row>
    <row r="49" spans="2:22" x14ac:dyDescent="0.3">
      <c r="B49" s="4">
        <f>B39</f>
        <v>11.67</v>
      </c>
      <c r="C49" s="14">
        <f>MIN(C24,0.05)*$B$2</f>
        <v>38.998000000000005</v>
      </c>
      <c r="D49" s="11">
        <f>C49*($D$2*$F$2/2*2/15)*B49</f>
        <v>31857.466200000003</v>
      </c>
      <c r="E49" s="14">
        <f>MIN(E24,0.05)*$B$2</f>
        <v>76.385000000000005</v>
      </c>
      <c r="F49" s="11">
        <f>E49*($D$2*$F$2/2*2/15)*B49</f>
        <v>62398.906500000005</v>
      </c>
      <c r="G49" s="14">
        <f>MIN(G24,0.05)*$B$2</f>
        <v>116.9045</v>
      </c>
      <c r="H49" s="11">
        <f>G49*($D$2*$F$2/2*2/15)*B49</f>
        <v>95499.286049999995</v>
      </c>
      <c r="I49" s="14">
        <f>MIN(I24,0.05)*$B$2</f>
        <v>154.07749999999999</v>
      </c>
      <c r="J49" s="11">
        <f>I49*($D$2*$F$2/2*2/15)*B49</f>
        <v>125865.90974999999</v>
      </c>
      <c r="K49" s="14">
        <f>MIN(K24,0.05)*$B$2</f>
        <v>194.9975</v>
      </c>
      <c r="L49" s="11">
        <f>K49*($D$2*$F$2/2*2/15)*B49</f>
        <v>159293.45775</v>
      </c>
      <c r="M49" s="14">
        <f>MIN(M24,0.05)*$B$2</f>
        <v>230.321</v>
      </c>
      <c r="N49" s="11">
        <f>M49*($D$2*$F$2/2*2/15)*B49</f>
        <v>188149.2249</v>
      </c>
      <c r="O49" s="14">
        <f>MIN(O24,0.05)*$B$2</f>
        <v>250</v>
      </c>
      <c r="P49" s="11">
        <f>O49*($D$2*$F$2/2*2/15)*B49</f>
        <v>204225</v>
      </c>
      <c r="Q49" s="14">
        <f>MIN(Q24,0.05)*$B$2</f>
        <v>250</v>
      </c>
      <c r="R49" s="11">
        <f>Q49*($D$2*$F$2/2*2/15)*B49</f>
        <v>204225</v>
      </c>
      <c r="S49" s="14">
        <f>MIN(S24,0.05)*$B$2</f>
        <v>250</v>
      </c>
      <c r="T49" s="11">
        <f>S49*($D$2*$F$2/2*2/15)*B49</f>
        <v>204225</v>
      </c>
      <c r="U49" s="14">
        <f>MIN(U24,0.05)*$B$2</f>
        <v>250</v>
      </c>
      <c r="V49" s="11">
        <f>U49*($D$2*$F$2/2*2/15)*B49</f>
        <v>204225</v>
      </c>
    </row>
    <row r="50" spans="2:22" x14ac:dyDescent="0.3">
      <c r="B50" s="4">
        <f>B38</f>
        <v>14</v>
      </c>
      <c r="C50" s="14">
        <f>MIN(C25,0.05)*$B$2</f>
        <v>47.265000000000001</v>
      </c>
      <c r="D50" s="11">
        <f>C50*($D$2*$F$2/2*2/15)*B50</f>
        <v>46319.700000000004</v>
      </c>
      <c r="E50" s="14">
        <f>MIN(E25,0.05)*$B$2</f>
        <v>94.668999999999997</v>
      </c>
      <c r="F50" s="11">
        <f>E50*($D$2*$F$2/2*2/15)*B50</f>
        <v>92775.62</v>
      </c>
      <c r="G50" s="14">
        <f>MIN(G25,0.05)*$B$2</f>
        <v>139.273</v>
      </c>
      <c r="H50" s="11">
        <f>G50*($D$2*$F$2/2*2/15)*B50</f>
        <v>136487.54</v>
      </c>
      <c r="I50" s="14">
        <f>MIN(I25,0.05)*$B$2</f>
        <v>184.33499999999998</v>
      </c>
      <c r="J50" s="11">
        <f>I50*($D$2*$F$2/2*2/15)*B50</f>
        <v>180648.3</v>
      </c>
      <c r="K50" s="14">
        <f>MIN(K25,0.05)*$B$2</f>
        <v>232.441</v>
      </c>
      <c r="L50" s="11">
        <f>K50*($D$2*$F$2/2*2/15)*B50</f>
        <v>227792.18000000002</v>
      </c>
      <c r="M50" s="14">
        <f>MIN(M25,0.05)*$B$2</f>
        <v>250</v>
      </c>
      <c r="N50" s="11">
        <f>M50*($D$2*$F$2/2*2/15)*B50</f>
        <v>245000</v>
      </c>
      <c r="O50" s="14">
        <f>MIN(O25,0.05)*$B$2</f>
        <v>250</v>
      </c>
      <c r="P50" s="11">
        <f>O50*($D$2*$F$2/2*2/15)*B50</f>
        <v>245000</v>
      </c>
      <c r="Q50" s="14">
        <f>MIN(Q25,0.05)*$B$2</f>
        <v>250</v>
      </c>
      <c r="R50" s="11">
        <f>Q50*($D$2*$F$2/2*2/15)*B50</f>
        <v>245000</v>
      </c>
      <c r="S50" s="14">
        <f>MIN(S25,0.05)*$B$2</f>
        <v>250</v>
      </c>
      <c r="T50" s="11">
        <f>S50*($D$2*$F$2/2*2/15)*B50</f>
        <v>245000</v>
      </c>
      <c r="U50" s="14">
        <f>MIN(U25,0.05)*$B$2</f>
        <v>250</v>
      </c>
      <c r="V50" s="11">
        <f>U50*($D$2*$F$2/2*2/15)*B50</f>
        <v>245000</v>
      </c>
    </row>
    <row r="51" spans="2:22" x14ac:dyDescent="0.3">
      <c r="B51" s="4">
        <f>B37</f>
        <v>16.329999999999998</v>
      </c>
      <c r="C51" s="14">
        <f>MIN(C26,0.05)*$B$2</f>
        <v>53.699999999999996</v>
      </c>
      <c r="D51" s="11">
        <f>C51*($D$2*$F$2/2*2/15)*B51</f>
        <v>61384.469999999987</v>
      </c>
      <c r="E51" s="14">
        <f>MIN(E26,0.05)*$B$2</f>
        <v>107.714</v>
      </c>
      <c r="F51" s="11">
        <f>E51*($D$2*$F$2/2*2/15)*B51</f>
        <v>123127.87339999998</v>
      </c>
      <c r="G51" s="14">
        <f>MIN(G26,0.05)*$B$2</f>
        <v>162.4</v>
      </c>
      <c r="H51" s="11">
        <f>G51*($D$2*$F$2/2*2/15)*B51</f>
        <v>185639.43999999997</v>
      </c>
      <c r="I51" s="14">
        <f>MIN(I26,0.05)*$B$2</f>
        <v>215.19900000000001</v>
      </c>
      <c r="J51" s="11">
        <f>I51*($D$2*$F$2/2*2/15)*B51</f>
        <v>245993.97689999998</v>
      </c>
      <c r="K51" s="14">
        <f>MIN(K26,0.05)*$B$2</f>
        <v>250</v>
      </c>
      <c r="L51" s="11">
        <f>K51*($D$2*$F$2/2*2/15)*B51</f>
        <v>285774.99999999994</v>
      </c>
      <c r="M51" s="14">
        <f>MIN(M26,0.05)*$B$2</f>
        <v>250</v>
      </c>
      <c r="N51" s="11">
        <f>M51*($D$2*$F$2/2*2/15)*B51</f>
        <v>285774.99999999994</v>
      </c>
      <c r="O51" s="14">
        <f>MIN(O26,0.05)*$B$2</f>
        <v>250</v>
      </c>
      <c r="P51" s="11">
        <f>O51*($D$2*$F$2/2*2/15)*B51</f>
        <v>285774.99999999994</v>
      </c>
      <c r="Q51" s="14">
        <f>MIN(Q26,0.05)*$B$2</f>
        <v>250</v>
      </c>
      <c r="R51" s="11">
        <f>Q51*($D$2*$F$2/2*2/15)*B51</f>
        <v>285774.99999999994</v>
      </c>
      <c r="S51" s="14">
        <f>MIN(S26,0.05)*$B$2</f>
        <v>250</v>
      </c>
      <c r="T51" s="11">
        <f>S51*($D$2*$F$2/2*2/15)*B51</f>
        <v>285774.99999999994</v>
      </c>
      <c r="U51" s="14">
        <f>MIN(U26,0.05)*$B$2</f>
        <v>250</v>
      </c>
      <c r="V51" s="11">
        <f>U51*($D$2*$F$2/2*2/15)*B51</f>
        <v>285774.99999999994</v>
      </c>
    </row>
    <row r="52" spans="2:22" x14ac:dyDescent="0.3">
      <c r="B52" s="4">
        <f>B36</f>
        <v>0</v>
      </c>
      <c r="C52" s="14"/>
      <c r="D52" s="11">
        <f>C52*($D$2*$F$2/2*2/15)*B52</f>
        <v>0</v>
      </c>
      <c r="E52" s="14"/>
      <c r="F52" s="11">
        <f>E52*($D$2*$F$2/2*2/15)*B52</f>
        <v>0</v>
      </c>
      <c r="G52" s="14"/>
      <c r="H52" s="11">
        <f>G52*($D$2*$F$2/2*2/15)*B52</f>
        <v>0</v>
      </c>
      <c r="I52" s="14"/>
      <c r="J52" s="11">
        <f>I52*($D$2*$F$2/2*2/15)*B52</f>
        <v>0</v>
      </c>
      <c r="K52" s="14"/>
      <c r="L52" s="11">
        <f>K52*($D$2*$F$2/2*2/15)*B52</f>
        <v>0</v>
      </c>
      <c r="M52" s="14"/>
      <c r="N52" s="11">
        <f>M52*($D$2*$F$2/2*2/15)*B52</f>
        <v>0</v>
      </c>
      <c r="O52" s="14"/>
      <c r="P52" s="11">
        <f>O52*($D$2*$F$2/2*2/15)*B52</f>
        <v>0</v>
      </c>
      <c r="Q52" s="14"/>
      <c r="R52" s="11">
        <f>Q52*($D$2*$F$2/2*2/15)*B52</f>
        <v>0</v>
      </c>
      <c r="S52" s="14"/>
      <c r="T52" s="11">
        <f>S52*($D$2*$F$2/2*2/15)*B52</f>
        <v>0</v>
      </c>
      <c r="U52" s="14"/>
      <c r="V52" s="11">
        <f>U52*($D$2*$F$2/2*2/15)*B52</f>
        <v>0</v>
      </c>
    </row>
    <row r="53" spans="2:22" x14ac:dyDescent="0.3">
      <c r="B53" s="4">
        <f>B35</f>
        <v>0</v>
      </c>
      <c r="C53" s="14"/>
      <c r="D53" s="11">
        <f>C53*($D$2*$F$2/2*2/15)*B53</f>
        <v>0</v>
      </c>
      <c r="E53" s="14"/>
      <c r="F53" s="11">
        <f>E53*($D$2*$F$2/2*2/15)*B53</f>
        <v>0</v>
      </c>
      <c r="G53" s="14"/>
      <c r="H53" s="11">
        <f>G53*($D$2*$F$2/2*2/15)*B53</f>
        <v>0</v>
      </c>
      <c r="I53" s="14"/>
      <c r="J53" s="11">
        <f>I53*($D$2*$F$2/2*2/15)*B53</f>
        <v>0</v>
      </c>
      <c r="K53" s="14"/>
      <c r="L53" s="11">
        <f>K53*($D$2*$F$2/2*2/15)*B53</f>
        <v>0</v>
      </c>
      <c r="M53" s="14"/>
      <c r="N53" s="11">
        <f>M53*($D$2*$F$2/2*2/15)*B53</f>
        <v>0</v>
      </c>
      <c r="O53" s="14"/>
      <c r="P53" s="11">
        <f>O53*($D$2*$F$2/2*2/15)*B53</f>
        <v>0</v>
      </c>
      <c r="Q53" s="14"/>
      <c r="R53" s="11">
        <f>Q53*($D$2*$F$2/2*2/15)*B53</f>
        <v>0</v>
      </c>
      <c r="S53" s="14"/>
      <c r="T53" s="11">
        <f>S53*($D$2*$F$2/2*2/15)*B53</f>
        <v>0</v>
      </c>
      <c r="U53" s="14"/>
      <c r="V53" s="11">
        <f>U53*($D$2*$F$2/2*2/15)*B53</f>
        <v>0</v>
      </c>
    </row>
    <row r="54" spans="2:22" x14ac:dyDescent="0.3">
      <c r="B54" s="4">
        <f>B34</f>
        <v>0</v>
      </c>
      <c r="C54" s="14"/>
      <c r="D54" s="11">
        <f>C54*($D$2*$F$2/2*2/15)*B54</f>
        <v>0</v>
      </c>
      <c r="E54" s="14"/>
      <c r="F54" s="11">
        <f>E54*($D$2*$F$2/2*2/15)*B54</f>
        <v>0</v>
      </c>
      <c r="G54" s="14"/>
      <c r="H54" s="11">
        <f>G54*($D$2*$F$2/2*2/15)*B54</f>
        <v>0</v>
      </c>
      <c r="I54" s="14"/>
      <c r="J54" s="11">
        <f>I54*($D$2*$F$2/2*2/15)*B54</f>
        <v>0</v>
      </c>
      <c r="K54" s="14"/>
      <c r="L54" s="11">
        <f>K54*($D$2*$F$2/2*2/15)*B54</f>
        <v>0</v>
      </c>
      <c r="M54" s="14"/>
      <c r="N54" s="11">
        <f>M54*($D$2*$F$2/2*2/15)*B54</f>
        <v>0</v>
      </c>
      <c r="O54" s="14"/>
      <c r="P54" s="11">
        <f>O54*($D$2*$F$2/2*2/15)*B54</f>
        <v>0</v>
      </c>
      <c r="Q54" s="14"/>
      <c r="R54" s="11">
        <f>Q54*($D$2*$F$2/2*2/15)*B54</f>
        <v>0</v>
      </c>
      <c r="S54" s="14"/>
      <c r="T54" s="11">
        <f>S54*($D$2*$F$2/2*2/15)*B54</f>
        <v>0</v>
      </c>
      <c r="U54" s="14"/>
      <c r="V54" s="11">
        <f>U54*($D$2*$F$2/2*2/15)*B54</f>
        <v>0</v>
      </c>
    </row>
  </sheetData>
  <mergeCells count="2">
    <mergeCell ref="B5:B7"/>
    <mergeCell ref="B30:B31"/>
  </mergeCells>
  <phoneticPr fontId="1" type="noConversion"/>
  <pageMargins left="0.7" right="0.7" top="0.75" bottom="0.75" header="0.3" footer="0.3"/>
  <pageSetup paperSize="9" orientation="portrait" r:id="rId1"/>
  <ignoredErrors>
    <ignoredError sqref="F20:F26 D20:D26 H20:H26 J20:N2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bending experiment</vt:lpstr>
      <vt:lpstr>based on stress</vt:lpstr>
      <vt:lpstr>load-displacement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ironbell</dc:creator>
  <cp:lastModifiedBy>knuser</cp:lastModifiedBy>
  <dcterms:created xsi:type="dcterms:W3CDTF">2020-03-18T13:14:15Z</dcterms:created>
  <dcterms:modified xsi:type="dcterms:W3CDTF">2020-05-15T14:27:29Z</dcterms:modified>
</cp:coreProperties>
</file>