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ms\"/>
    </mc:Choice>
  </mc:AlternateContent>
  <xr:revisionPtr revIDLastSave="0" documentId="13_ncr:1_{320C54E3-CF1C-4704-85E3-05BC2A60B5BA}" xr6:coauthVersionLast="45" xr6:coauthVersionMax="45" xr10:uidLastSave="{00000000-0000-0000-0000-000000000000}"/>
  <bookViews>
    <workbookView xWindow="-120" yWindow="-120" windowWidth="29040" windowHeight="16440" activeTab="1" xr2:uid="{B9178110-FA82-441D-9A7A-91BC9B243B04}"/>
  </bookViews>
  <sheets>
    <sheet name="Sheet1" sheetId="1" r:id="rId1"/>
    <sheet name="bending experimen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2" l="1"/>
  <c r="F52" i="2"/>
  <c r="G51" i="2"/>
  <c r="H51" i="2" s="1"/>
  <c r="B51" i="2"/>
  <c r="B50" i="2"/>
  <c r="B49" i="2"/>
  <c r="G49" i="2" s="1"/>
  <c r="H49" i="2" s="1"/>
  <c r="B48" i="2"/>
  <c r="G48" i="2" s="1"/>
  <c r="H48" i="2" s="1"/>
  <c r="B47" i="2"/>
  <c r="G46" i="2"/>
  <c r="H46" i="2" s="1"/>
  <c r="B46" i="2"/>
  <c r="G45" i="2"/>
  <c r="H45" i="2" s="1"/>
  <c r="B45" i="2"/>
  <c r="B44" i="2"/>
  <c r="G44" i="2" s="1"/>
  <c r="H44" i="2" s="1"/>
  <c r="B43" i="2"/>
  <c r="G43" i="2" s="1"/>
  <c r="H43" i="2" s="1"/>
  <c r="B42" i="2"/>
  <c r="G41" i="2"/>
  <c r="H41" i="2" s="1"/>
  <c r="G40" i="2"/>
  <c r="H40" i="2" s="1"/>
  <c r="G39" i="2"/>
  <c r="H39" i="2" s="1"/>
  <c r="G37" i="2"/>
  <c r="H37" i="2" s="1"/>
  <c r="G36" i="2"/>
  <c r="H36" i="2" s="1"/>
  <c r="H35" i="2"/>
  <c r="G35" i="2"/>
  <c r="G33" i="2"/>
  <c r="H33" i="2" s="1"/>
  <c r="G32" i="2"/>
  <c r="H32" i="2" s="1"/>
  <c r="K23" i="2"/>
  <c r="L23" i="2" s="1"/>
  <c r="M23" i="2" s="1"/>
  <c r="N23" i="2" s="1"/>
  <c r="O23" i="2" s="1"/>
  <c r="P23" i="2" s="1"/>
  <c r="Q23" i="2" s="1"/>
  <c r="B23" i="2"/>
  <c r="C23" i="2" s="1"/>
  <c r="D23" i="2" s="1"/>
  <c r="E23" i="2" s="1"/>
  <c r="F23" i="2" s="1"/>
  <c r="G23" i="2" s="1"/>
  <c r="H23" i="2" s="1"/>
  <c r="K17" i="2"/>
  <c r="K13" i="2"/>
  <c r="L12" i="2"/>
  <c r="N10" i="2"/>
  <c r="O10" i="2" s="1"/>
  <c r="P10" i="2" s="1"/>
  <c r="Q10" i="2" s="1"/>
  <c r="L10" i="2"/>
  <c r="M10" i="2" s="1"/>
  <c r="D10" i="2"/>
  <c r="E10" i="2" s="1"/>
  <c r="F10" i="2" s="1"/>
  <c r="G10" i="2" s="1"/>
  <c r="H10" i="2" s="1"/>
  <c r="C10" i="2"/>
  <c r="L9" i="2"/>
  <c r="L17" i="2" s="1"/>
  <c r="D9" i="2"/>
  <c r="C9" i="2"/>
  <c r="N8" i="2"/>
  <c r="O8" i="2" s="1"/>
  <c r="P8" i="2" s="1"/>
  <c r="Q8" i="2" s="1"/>
  <c r="K8" i="2"/>
  <c r="L8" i="2" s="1"/>
  <c r="M8" i="2" s="1"/>
  <c r="B8" i="2"/>
  <c r="G50" i="2" s="1"/>
  <c r="H50" i="2" s="1"/>
  <c r="L7" i="2"/>
  <c r="M7" i="2" s="1"/>
  <c r="N7" i="2" s="1"/>
  <c r="O7" i="2" s="1"/>
  <c r="P7" i="2" s="1"/>
  <c r="Q7" i="2" s="1"/>
  <c r="D7" i="2"/>
  <c r="E7" i="2" s="1"/>
  <c r="F7" i="2" s="1"/>
  <c r="G7" i="2" s="1"/>
  <c r="H7" i="2" s="1"/>
  <c r="C7" i="2"/>
  <c r="L6" i="2"/>
  <c r="M6" i="2" s="1"/>
  <c r="N6" i="2" s="1"/>
  <c r="O6" i="2" s="1"/>
  <c r="P6" i="2" s="1"/>
  <c r="Q6" i="2" s="1"/>
  <c r="C6" i="2"/>
  <c r="D6" i="2" s="1"/>
  <c r="E6" i="2" s="1"/>
  <c r="F6" i="2" s="1"/>
  <c r="G6" i="2" s="1"/>
  <c r="H6" i="2" s="1"/>
  <c r="L5" i="2"/>
  <c r="M5" i="2" s="1"/>
  <c r="N5" i="2" s="1"/>
  <c r="O5" i="2" s="1"/>
  <c r="P5" i="2" s="1"/>
  <c r="Q5" i="2" s="1"/>
  <c r="K5" i="2"/>
  <c r="B5" i="2"/>
  <c r="B16" i="2" s="1"/>
  <c r="B12" i="2" l="1"/>
  <c r="B14" i="2" s="1"/>
  <c r="L13" i="2"/>
  <c r="L14" i="2" s="1"/>
  <c r="L16" i="2"/>
  <c r="L18" i="2" s="1"/>
  <c r="L3" i="2" s="1"/>
  <c r="M9" i="2"/>
  <c r="B17" i="2"/>
  <c r="B18" i="2" s="1"/>
  <c r="B3" i="2" s="1"/>
  <c r="C5" i="2"/>
  <c r="E9" i="2"/>
  <c r="B13" i="2"/>
  <c r="C16" i="2"/>
  <c r="K12" i="2"/>
  <c r="K14" i="2" s="1"/>
  <c r="K16" i="2"/>
  <c r="K18" i="2" s="1"/>
  <c r="K3" i="2" s="1"/>
  <c r="G34" i="2"/>
  <c r="H34" i="2" s="1"/>
  <c r="G38" i="2"/>
  <c r="H38" i="2" s="1"/>
  <c r="G47" i="2"/>
  <c r="H47" i="2" s="1"/>
  <c r="C8" i="2"/>
  <c r="D8" i="2" s="1"/>
  <c r="E8" i="2" s="1"/>
  <c r="F8" i="2" s="1"/>
  <c r="G8" i="2" s="1"/>
  <c r="H8" i="2" s="1"/>
  <c r="G42" i="2"/>
  <c r="H42" i="2" s="1"/>
  <c r="H52" i="2" s="1"/>
  <c r="R58" i="1"/>
  <c r="T58" i="1"/>
  <c r="Q61" i="1"/>
  <c r="E57" i="1"/>
  <c r="U49" i="1"/>
  <c r="E34" i="1"/>
  <c r="S31" i="1"/>
  <c r="Q58" i="1"/>
  <c r="U53" i="1"/>
  <c r="U52" i="1"/>
  <c r="U51" i="1"/>
  <c r="U50" i="1"/>
  <c r="T54" i="1"/>
  <c r="S54" i="1"/>
  <c r="T53" i="1"/>
  <c r="S53" i="1"/>
  <c r="P54" i="1"/>
  <c r="H22" i="1"/>
  <c r="H25" i="1"/>
  <c r="S50" i="1"/>
  <c r="T50" i="1"/>
  <c r="S51" i="1"/>
  <c r="T51" i="1"/>
  <c r="S52" i="1"/>
  <c r="T52" i="1"/>
  <c r="T49" i="1"/>
  <c r="S49" i="1"/>
  <c r="T48" i="1"/>
  <c r="S48" i="1"/>
  <c r="T47" i="1"/>
  <c r="S47" i="1"/>
  <c r="T46" i="1"/>
  <c r="S46" i="1"/>
  <c r="T45" i="1"/>
  <c r="S45" i="1"/>
  <c r="G47" i="1"/>
  <c r="H47" i="1"/>
  <c r="D49" i="1"/>
  <c r="H48" i="1"/>
  <c r="G48" i="1"/>
  <c r="H46" i="1"/>
  <c r="G46" i="1"/>
  <c r="H45" i="1"/>
  <c r="G45" i="1"/>
  <c r="T24" i="1"/>
  <c r="T25" i="1"/>
  <c r="T26" i="1"/>
  <c r="S24" i="1"/>
  <c r="S25" i="1"/>
  <c r="S26" i="1"/>
  <c r="P27" i="1"/>
  <c r="T23" i="1"/>
  <c r="S23" i="1"/>
  <c r="T22" i="1"/>
  <c r="S22" i="1"/>
  <c r="U25" i="1" s="1"/>
  <c r="H24" i="1"/>
  <c r="H23" i="1"/>
  <c r="G24" i="1"/>
  <c r="G25" i="1"/>
  <c r="G23" i="1"/>
  <c r="G22" i="1"/>
  <c r="L21" i="2" l="1"/>
  <c r="L20" i="2"/>
  <c r="L25" i="2" s="1"/>
  <c r="L27" i="2" s="1"/>
  <c r="M16" i="2"/>
  <c r="M17" i="2"/>
  <c r="M13" i="2"/>
  <c r="N9" i="2"/>
  <c r="M12" i="2"/>
  <c r="M14" i="2" s="1"/>
  <c r="F9" i="2"/>
  <c r="B21" i="2"/>
  <c r="B20" i="2"/>
  <c r="B25" i="2" s="1"/>
  <c r="B27" i="2" s="1"/>
  <c r="K28" i="2"/>
  <c r="C13" i="2"/>
  <c r="C17" i="2"/>
  <c r="C18" i="2" s="1"/>
  <c r="C3" i="2" s="1"/>
  <c r="K20" i="2"/>
  <c r="K21" i="2"/>
  <c r="K26" i="2" s="1"/>
  <c r="D5" i="2"/>
  <c r="C12" i="2"/>
  <c r="C14" i="2" s="1"/>
  <c r="Q62" i="1"/>
  <c r="U54" i="1"/>
  <c r="U46" i="1"/>
  <c r="U45" i="1"/>
  <c r="U23" i="1"/>
  <c r="I23" i="1"/>
  <c r="U48" i="1"/>
  <c r="I25" i="1"/>
  <c r="S58" i="1"/>
  <c r="U47" i="1"/>
  <c r="I47" i="1"/>
  <c r="H26" i="1"/>
  <c r="I48" i="1"/>
  <c r="H49" i="1"/>
  <c r="G49" i="1"/>
  <c r="E53" i="1"/>
  <c r="F53" i="1" s="1"/>
  <c r="I45" i="1"/>
  <c r="I46" i="1"/>
  <c r="I24" i="1"/>
  <c r="G26" i="1"/>
  <c r="T27" i="1"/>
  <c r="U26" i="1"/>
  <c r="S27" i="1"/>
  <c r="U24" i="1"/>
  <c r="U22" i="1"/>
  <c r="Q31" i="1"/>
  <c r="T31" i="1" s="1"/>
  <c r="D26" i="1"/>
  <c r="N17" i="2" l="1"/>
  <c r="N12" i="2"/>
  <c r="N16" i="2"/>
  <c r="O9" i="2"/>
  <c r="N13" i="2"/>
  <c r="L26" i="2"/>
  <c r="L28" i="2" s="1"/>
  <c r="C21" i="2"/>
  <c r="C20" i="2"/>
  <c r="C25" i="2" s="1"/>
  <c r="C27" i="2" s="1"/>
  <c r="B26" i="2"/>
  <c r="B28" i="2" s="1"/>
  <c r="E5" i="2"/>
  <c r="D12" i="2"/>
  <c r="D16" i="2"/>
  <c r="D18" i="2" s="1"/>
  <c r="D3" i="2" s="1"/>
  <c r="D17" i="2"/>
  <c r="D13" i="2"/>
  <c r="M18" i="2"/>
  <c r="M3" i="2" s="1"/>
  <c r="M21" i="2"/>
  <c r="M20" i="2"/>
  <c r="M25" i="2" s="1"/>
  <c r="M27" i="2" s="1"/>
  <c r="K25" i="2"/>
  <c r="K27" i="2" s="1"/>
  <c r="G9" i="2"/>
  <c r="Q57" i="1"/>
  <c r="G53" i="1"/>
  <c r="H53" i="1" s="1"/>
  <c r="I49" i="1"/>
  <c r="E52" i="1" s="1"/>
  <c r="E30" i="1"/>
  <c r="G30" i="1" s="1"/>
  <c r="H30" i="1" s="1"/>
  <c r="U27" i="1"/>
  <c r="R31" i="1"/>
  <c r="Q36" i="1" s="1"/>
  <c r="X17" i="1"/>
  <c r="W17" i="1"/>
  <c r="V17" i="1"/>
  <c r="U17" i="1"/>
  <c r="T17" i="1"/>
  <c r="Y15" i="1"/>
  <c r="U10" i="1" s="1"/>
  <c r="U12" i="1" s="1"/>
  <c r="P17" i="1"/>
  <c r="O17" i="1"/>
  <c r="N17" i="1"/>
  <c r="M17" i="1"/>
  <c r="L17" i="1"/>
  <c r="Q15" i="1"/>
  <c r="M10" i="1" s="1"/>
  <c r="X12" i="1"/>
  <c r="W12" i="1"/>
  <c r="P12" i="1"/>
  <c r="O7" i="1"/>
  <c r="N7" i="1"/>
  <c r="M7" i="1"/>
  <c r="O12" i="1"/>
  <c r="L12" i="1"/>
  <c r="F11" i="1"/>
  <c r="G11" i="1" s="1"/>
  <c r="F10" i="1"/>
  <c r="G10" i="1" s="1"/>
  <c r="F6" i="1"/>
  <c r="G6" i="1" s="1"/>
  <c r="H6" i="1" s="1"/>
  <c r="F5" i="1"/>
  <c r="A16" i="1"/>
  <c r="A13" i="1"/>
  <c r="A15" i="1" s="1"/>
  <c r="A11" i="1"/>
  <c r="A10" i="1"/>
  <c r="A9" i="1"/>
  <c r="B7" i="1"/>
  <c r="B6" i="1"/>
  <c r="A7" i="1"/>
  <c r="A6" i="1"/>
  <c r="A4" i="1"/>
  <c r="A3" i="1"/>
  <c r="A1" i="1"/>
  <c r="A2" i="1" s="1"/>
  <c r="M26" i="2" l="1"/>
  <c r="M28" i="2" s="1"/>
  <c r="H9" i="2"/>
  <c r="C26" i="2"/>
  <c r="C28" i="2" s="1"/>
  <c r="O17" i="2"/>
  <c r="O12" i="2"/>
  <c r="P9" i="2"/>
  <c r="O13" i="2"/>
  <c r="O16" i="2"/>
  <c r="O18" i="2" s="1"/>
  <c r="O3" i="2" s="1"/>
  <c r="D14" i="2"/>
  <c r="N18" i="2"/>
  <c r="N3" i="2" s="1"/>
  <c r="F5" i="2"/>
  <c r="E17" i="2"/>
  <c r="E12" i="2"/>
  <c r="E13" i="2"/>
  <c r="E16" i="2"/>
  <c r="E18" i="2" s="1"/>
  <c r="E3" i="2" s="1"/>
  <c r="N14" i="2"/>
  <c r="X45" i="1"/>
  <c r="X46" i="1" s="1"/>
  <c r="X47" i="1" s="1"/>
  <c r="X48" i="1" s="1"/>
  <c r="X49" i="1" s="1"/>
  <c r="R36" i="1"/>
  <c r="S57" i="1"/>
  <c r="T57" i="1" s="1"/>
  <c r="R57" i="1"/>
  <c r="R62" i="1"/>
  <c r="F52" i="1"/>
  <c r="L45" i="1"/>
  <c r="G52" i="1"/>
  <c r="E58" i="1"/>
  <c r="Q30" i="1"/>
  <c r="F30" i="1"/>
  <c r="A14" i="1"/>
  <c r="Y10" i="1"/>
  <c r="P5" i="1" s="1"/>
  <c r="P7" i="1" s="1"/>
  <c r="V12" i="1"/>
  <c r="T12" i="1"/>
  <c r="N12" i="1"/>
  <c r="M12" i="1"/>
  <c r="Y17" i="1"/>
  <c r="Y16" i="1" s="1"/>
  <c r="Q17" i="1"/>
  <c r="Q16" i="1" s="1"/>
  <c r="F7" i="1"/>
  <c r="G7" i="1" s="1"/>
  <c r="H7" i="1" s="1"/>
  <c r="G5" i="1"/>
  <c r="H5" i="1" s="1"/>
  <c r="G5" i="2" l="1"/>
  <c r="F13" i="2"/>
  <c r="F16" i="2"/>
  <c r="F12" i="2"/>
  <c r="F14" i="2" s="1"/>
  <c r="F17" i="2"/>
  <c r="D21" i="2"/>
  <c r="D26" i="2" s="1"/>
  <c r="D28" i="2" s="1"/>
  <c r="D20" i="2"/>
  <c r="Q9" i="2"/>
  <c r="P13" i="2"/>
  <c r="P17" i="2"/>
  <c r="P16" i="2"/>
  <c r="P12" i="2"/>
  <c r="E14" i="2"/>
  <c r="O14" i="2"/>
  <c r="N21" i="2"/>
  <c r="N20" i="2"/>
  <c r="N25" i="2" s="1"/>
  <c r="N27" i="2" s="1"/>
  <c r="Y49" i="1"/>
  <c r="X50" i="1"/>
  <c r="S30" i="1"/>
  <c r="X22" i="1"/>
  <c r="X23" i="1" s="1"/>
  <c r="X24" i="1" s="1"/>
  <c r="X25" i="1" s="1"/>
  <c r="Y48" i="1"/>
  <c r="Y47" i="1"/>
  <c r="Y45" i="1"/>
  <c r="Y46" i="1"/>
  <c r="R61" i="1"/>
  <c r="H52" i="1"/>
  <c r="M45" i="1"/>
  <c r="L46" i="1"/>
  <c r="R30" i="1"/>
  <c r="Y12" i="1"/>
  <c r="Y11" i="1" s="1"/>
  <c r="Q12" i="1"/>
  <c r="Q10" i="1"/>
  <c r="L5" i="1" s="1"/>
  <c r="Q5" i="1" s="1"/>
  <c r="E11" i="1"/>
  <c r="I11" i="1" s="1"/>
  <c r="E10" i="1"/>
  <c r="I10" i="1" s="1"/>
  <c r="Q13" i="2" l="1"/>
  <c r="Q16" i="2"/>
  <c r="Q18" i="2" s="1"/>
  <c r="Q3" i="2" s="1"/>
  <c r="Q17" i="2"/>
  <c r="Q12" i="2"/>
  <c r="Q14" i="2" s="1"/>
  <c r="D25" i="2"/>
  <c r="D27" i="2" s="1"/>
  <c r="N26" i="2"/>
  <c r="N28" i="2" s="1"/>
  <c r="O21" i="2"/>
  <c r="O26" i="2" s="1"/>
  <c r="O28" i="2" s="1"/>
  <c r="O20" i="2"/>
  <c r="O25" i="2" s="1"/>
  <c r="O27" i="2" s="1"/>
  <c r="F21" i="2"/>
  <c r="F20" i="2"/>
  <c r="F25" i="2" s="1"/>
  <c r="F27" i="2" s="1"/>
  <c r="E20" i="2"/>
  <c r="E21" i="2"/>
  <c r="E26" i="2" s="1"/>
  <c r="E28" i="2" s="1"/>
  <c r="F18" i="2"/>
  <c r="F3" i="2" s="1"/>
  <c r="P14" i="2"/>
  <c r="P18" i="2"/>
  <c r="P3" i="2" s="1"/>
  <c r="H5" i="2"/>
  <c r="G13" i="2"/>
  <c r="G16" i="2"/>
  <c r="G17" i="2"/>
  <c r="G12" i="2"/>
  <c r="G14" i="2" s="1"/>
  <c r="Y50" i="1"/>
  <c r="X51" i="1"/>
  <c r="T30" i="1"/>
  <c r="Y23" i="1"/>
  <c r="Y25" i="1"/>
  <c r="Y24" i="1"/>
  <c r="Y22" i="1"/>
  <c r="M46" i="1"/>
  <c r="L47" i="1"/>
  <c r="M47" i="1" s="1"/>
  <c r="H11" i="1"/>
  <c r="I12" i="1"/>
  <c r="Q11" i="1"/>
  <c r="L7" i="1"/>
  <c r="Q7" i="1" s="1"/>
  <c r="Q6" i="1" s="1"/>
  <c r="H10" i="1"/>
  <c r="P21" i="2" l="1"/>
  <c r="P26" i="2" s="1"/>
  <c r="P28" i="2" s="1"/>
  <c r="P20" i="2"/>
  <c r="P25" i="2" s="1"/>
  <c r="P27" i="2" s="1"/>
  <c r="Q21" i="2"/>
  <c r="Q20" i="2"/>
  <c r="Q25" i="2" s="1"/>
  <c r="Q27" i="2" s="1"/>
  <c r="G21" i="2"/>
  <c r="G20" i="2"/>
  <c r="G25" i="2" s="1"/>
  <c r="G27" i="2" s="1"/>
  <c r="E25" i="2"/>
  <c r="E27" i="2" s="1"/>
  <c r="H17" i="2"/>
  <c r="H13" i="2"/>
  <c r="H16" i="2"/>
  <c r="H18" i="2" s="1"/>
  <c r="H3" i="2" s="1"/>
  <c r="H12" i="2"/>
  <c r="H14" i="2" s="1"/>
  <c r="G18" i="2"/>
  <c r="G3" i="2" s="1"/>
  <c r="F26" i="2"/>
  <c r="F28" i="2" s="1"/>
  <c r="X52" i="1"/>
  <c r="Y52" i="1" s="1"/>
  <c r="Y51" i="1"/>
  <c r="Q35" i="1"/>
  <c r="R35" i="1"/>
  <c r="H12" i="1"/>
  <c r="E12" i="1"/>
  <c r="G12" i="1" s="1"/>
  <c r="F12" i="1" s="1"/>
  <c r="F13" i="1" s="1"/>
  <c r="I22" i="1"/>
  <c r="I26" i="1" s="1"/>
  <c r="E29" i="1" s="1"/>
  <c r="G26" i="2" l="1"/>
  <c r="Q26" i="2"/>
  <c r="Q28" i="2" s="1"/>
  <c r="G28" i="2"/>
  <c r="H20" i="2"/>
  <c r="H21" i="2"/>
  <c r="H26" i="2" s="1"/>
  <c r="H28" i="2" s="1"/>
  <c r="L22" i="1"/>
  <c r="L23" i="1" s="1"/>
  <c r="L24" i="1" s="1"/>
  <c r="G29" i="1"/>
  <c r="F29" i="1"/>
  <c r="E35" i="1"/>
  <c r="H25" i="2" l="1"/>
  <c r="H27" i="2" s="1"/>
  <c r="H29" i="1"/>
  <c r="M23" i="1"/>
  <c r="M22" i="1"/>
  <c r="M24" i="1"/>
</calcChain>
</file>

<file path=xl/sharedStrings.xml><?xml version="1.0" encoding="utf-8"?>
<sst xmlns="http://schemas.openxmlformats.org/spreadsheetml/2006/main" count="129" uniqueCount="54">
  <si>
    <t>theta1</t>
    <phoneticPr fontId="1" type="noConversion"/>
  </si>
  <si>
    <t>theta2</t>
    <phoneticPr fontId="1" type="noConversion"/>
  </si>
  <si>
    <t>F1</t>
    <phoneticPr fontId="1" type="noConversion"/>
  </si>
  <si>
    <t>thata3</t>
    <phoneticPr fontId="1" type="noConversion"/>
  </si>
  <si>
    <t>ang</t>
    <phoneticPr fontId="1" type="noConversion"/>
  </si>
  <si>
    <t>180-ang</t>
    <phoneticPr fontId="1" type="noConversion"/>
  </si>
  <si>
    <t>degree</t>
    <phoneticPr fontId="1" type="noConversion"/>
  </si>
  <si>
    <t>radian</t>
    <phoneticPr fontId="1" type="noConversion"/>
  </si>
  <si>
    <t>sin</t>
    <phoneticPr fontId="1" type="noConversion"/>
  </si>
  <si>
    <t>F2</t>
    <phoneticPr fontId="1" type="noConversion"/>
  </si>
  <si>
    <t>mag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</si>
  <si>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</si>
  <si>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</si>
  <si>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</si>
  <si>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>wgt</t>
    <phoneticPr fontId="1" type="noConversion"/>
  </si>
  <si>
    <t>dist</t>
    <phoneticPr fontId="1" type="noConversion"/>
  </si>
  <si>
    <t>Mnt</t>
    <phoneticPr fontId="1" type="noConversion"/>
  </si>
  <si>
    <t>result</t>
    <phoneticPr fontId="1" type="noConversion"/>
  </si>
  <si>
    <t>sum</t>
    <phoneticPr fontId="1" type="noConversion"/>
  </si>
  <si>
    <t>y</t>
    <phoneticPr fontId="1" type="noConversion"/>
  </si>
  <si>
    <t>Va</t>
    <phoneticPr fontId="1" type="noConversion"/>
  </si>
  <si>
    <t>Vb</t>
    <phoneticPr fontId="1" type="noConversion"/>
  </si>
  <si>
    <t>Ha</t>
    <phoneticPr fontId="1" type="noConversion"/>
  </si>
  <si>
    <t>Hb</t>
    <phoneticPr fontId="1" type="noConversion"/>
  </si>
  <si>
    <t>dx</t>
    <phoneticPr fontId="1" type="noConversion"/>
  </si>
  <si>
    <t>dy</t>
    <phoneticPr fontId="1" type="noConversion"/>
  </si>
  <si>
    <t>w</t>
    <phoneticPr fontId="1" type="noConversion"/>
  </si>
  <si>
    <t>m</t>
    <phoneticPr fontId="1" type="noConversion"/>
  </si>
  <si>
    <t>axial</t>
    <phoneticPr fontId="1" type="noConversion"/>
  </si>
  <si>
    <t>acc_fy</t>
    <phoneticPr fontId="1" type="noConversion"/>
  </si>
  <si>
    <t>Simple beam</t>
    <phoneticPr fontId="1" type="noConversion"/>
  </si>
  <si>
    <t>Cantilever beam</t>
    <phoneticPr fontId="1" type="noConversion"/>
  </si>
  <si>
    <t>E</t>
    <phoneticPr fontId="1" type="noConversion"/>
  </si>
  <si>
    <t>b</t>
    <phoneticPr fontId="1" type="noConversion"/>
  </si>
  <si>
    <t>h</t>
    <phoneticPr fontId="1" type="noConversion"/>
  </si>
  <si>
    <t>I</t>
    <phoneticPr fontId="1" type="noConversion"/>
  </si>
  <si>
    <t>P</t>
    <phoneticPr fontId="1" type="noConversion"/>
  </si>
  <si>
    <t>L</t>
    <phoneticPr fontId="1" type="noConversion"/>
  </si>
  <si>
    <t>PL^2/16</t>
    <phoneticPr fontId="1" type="noConversion"/>
  </si>
  <si>
    <t>PLx</t>
    <phoneticPr fontId="1" type="noConversion"/>
  </si>
  <si>
    <t>-Px^2/4</t>
    <phoneticPr fontId="1" type="noConversion"/>
  </si>
  <si>
    <t>-Px^2/2</t>
    <phoneticPr fontId="1" type="noConversion"/>
  </si>
  <si>
    <t>theta</t>
    <phoneticPr fontId="1" type="noConversion"/>
  </si>
  <si>
    <t>PL^2x/16</t>
    <phoneticPr fontId="1" type="noConversion"/>
  </si>
  <si>
    <t>PL^2x/2</t>
    <phoneticPr fontId="1" type="noConversion"/>
  </si>
  <si>
    <t>-Px^3/12</t>
    <phoneticPr fontId="1" type="noConversion"/>
  </si>
  <si>
    <t>-Px^3/6</t>
    <phoneticPr fontId="1" type="noConversion"/>
  </si>
  <si>
    <t>delta</t>
    <phoneticPr fontId="1" type="noConversion"/>
  </si>
  <si>
    <t>c</t>
    <phoneticPr fontId="1" type="noConversion"/>
  </si>
  <si>
    <t>s</t>
    <phoneticPr fontId="1" type="noConversion"/>
  </si>
  <si>
    <t>x'</t>
    <phoneticPr fontId="1" type="noConversion"/>
  </si>
  <si>
    <t>y'</t>
    <phoneticPr fontId="1" type="noConversion"/>
  </si>
  <si>
    <t>new x</t>
    <phoneticPr fontId="1" type="noConversion"/>
  </si>
  <si>
    <t>new 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</si>
</sst>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76" formatCode="0.000"/>
    <numFmt numFmtId="177" formatCode="0.00_ "/>
    <numFmt numFmtId="178" formatCode="_-* #,##0.000_-;\-* #,##0.000_-;_-* &quot;-&quot;_-;_-@_-"/>
    <numFmt numFmtId="179" formatCode="0.000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1" applyNumberFormat="1" applyFont="1">
      <alignment vertical="center"/>
    </xf>
    <xf numFmtId="179" fontId="0" fillId="0" borderId="0" xfId="0" applyNumberFormat="1">
      <alignment vertical="center"/>
    </xf>
    <xf numFmtId="0" fontId="0" fillId="0" borderId="0" xfId="0" quotePrefix="1">
      <alignment vertical="center"/>
    </xf>
    <xf numFmtId="43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'bending experiment'!$G$32:$G$51</c:f>
              <c:numCache>
                <c:formatCode>_-* #,##0.000_-;\-* #,##0.000_-;_-* "-"_-;_-@_-</c:formatCode>
                <c:ptCount val="20"/>
                <c:pt idx="0">
                  <c:v>52.36268221574344</c:v>
                </c:pt>
                <c:pt idx="1">
                  <c:v>46.85247813411079</c:v>
                </c:pt>
                <c:pt idx="2">
                  <c:v>41.342274052478139</c:v>
                </c:pt>
                <c:pt idx="3">
                  <c:v>35.832069970845488</c:v>
                </c:pt>
                <c:pt idx="4">
                  <c:v>30.32186588921283</c:v>
                </c:pt>
                <c:pt idx="5">
                  <c:v>24.811661807580176</c:v>
                </c:pt>
                <c:pt idx="6">
                  <c:v>19.301457725947522</c:v>
                </c:pt>
                <c:pt idx="7">
                  <c:v>13.791253644314869</c:v>
                </c:pt>
                <c:pt idx="8">
                  <c:v>8.2810495626822149</c:v>
                </c:pt>
                <c:pt idx="9">
                  <c:v>2.7708454810495629</c:v>
                </c:pt>
                <c:pt idx="10">
                  <c:v>-2.7708454810495629</c:v>
                </c:pt>
                <c:pt idx="11">
                  <c:v>-8.2810495626822149</c:v>
                </c:pt>
                <c:pt idx="12">
                  <c:v>-13.791253644314869</c:v>
                </c:pt>
                <c:pt idx="13">
                  <c:v>-19.301457725947522</c:v>
                </c:pt>
                <c:pt idx="14">
                  <c:v>-24.811661807580176</c:v>
                </c:pt>
                <c:pt idx="15">
                  <c:v>-30.32186588921283</c:v>
                </c:pt>
                <c:pt idx="16">
                  <c:v>-35.832069970845488</c:v>
                </c:pt>
                <c:pt idx="17">
                  <c:v>-41.342274052478139</c:v>
                </c:pt>
                <c:pt idx="18">
                  <c:v>-46.85247813411079</c:v>
                </c:pt>
                <c:pt idx="19">
                  <c:v>-52.36268221574344</c:v>
                </c:pt>
              </c:numCache>
            </c:numRef>
          </c:xVal>
          <c:yVal>
            <c:numRef>
              <c:f>'bending experiment'!$B$32:$B$51</c:f>
              <c:numCache>
                <c:formatCode>_-* #,##0.000_-;\-* #,##0.000_-;_-* "-"_-;_-@_-</c:formatCode>
                <c:ptCount val="20"/>
                <c:pt idx="0">
                  <c:v>16.63</c:v>
                </c:pt>
                <c:pt idx="1">
                  <c:v>14.88</c:v>
                </c:pt>
                <c:pt idx="2">
                  <c:v>13.13</c:v>
                </c:pt>
                <c:pt idx="3">
                  <c:v>11.38</c:v>
                </c:pt>
                <c:pt idx="4">
                  <c:v>9.6300000000000008</c:v>
                </c:pt>
                <c:pt idx="5">
                  <c:v>7.88</c:v>
                </c:pt>
                <c:pt idx="6">
                  <c:v>6.13</c:v>
                </c:pt>
                <c:pt idx="7">
                  <c:v>4.38</c:v>
                </c:pt>
                <c:pt idx="8">
                  <c:v>2.63</c:v>
                </c:pt>
                <c:pt idx="9">
                  <c:v>0.88</c:v>
                </c:pt>
                <c:pt idx="10">
                  <c:v>-0.88</c:v>
                </c:pt>
                <c:pt idx="11">
                  <c:v>-2.63</c:v>
                </c:pt>
                <c:pt idx="12">
                  <c:v>-4.38</c:v>
                </c:pt>
                <c:pt idx="13">
                  <c:v>-6.13</c:v>
                </c:pt>
                <c:pt idx="14">
                  <c:v>-7.88</c:v>
                </c:pt>
                <c:pt idx="15">
                  <c:v>-9.6300000000000008</c:v>
                </c:pt>
                <c:pt idx="16">
                  <c:v>-11.38</c:v>
                </c:pt>
                <c:pt idx="17">
                  <c:v>-13.13</c:v>
                </c:pt>
                <c:pt idx="18">
                  <c:v>-14.88</c:v>
                </c:pt>
                <c:pt idx="19">
                  <c:v>-16.63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6-48CA-AE39-690E1EA1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60480"/>
        <c:axId val="447863760"/>
      </c:scatterChart>
      <c:valAx>
        <c:axId val="44786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3760"/>
        <c:crosses val="autoZero"/>
        <c:crossBetween val="midCat"/>
      </c:valAx>
      <c:valAx>
        <c:axId val="4478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86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25</xdr:row>
      <xdr:rowOff>152399</xdr:rowOff>
    </xdr:from>
    <xdr:to>
      <xdr:col>13</xdr:col>
      <xdr:colOff>476250</xdr:colOff>
      <xdr:row>50</xdr:row>
      <xdr:rowOff>28574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C19822-5D40-49E9-8188-1D540E21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3685;&#54633;%20&#47928;&#49436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B32">
            <v>16.63</v>
          </cell>
          <cell r="G32">
            <v>52.36268221574344</v>
          </cell>
        </row>
        <row r="33">
          <cell r="B33">
            <v>14.88</v>
          </cell>
          <cell r="G33">
            <v>46.85247813411079</v>
          </cell>
        </row>
        <row r="34">
          <cell r="B34">
            <v>13.13</v>
          </cell>
          <cell r="G34">
            <v>41.342274052478139</v>
          </cell>
        </row>
        <row r="35">
          <cell r="B35">
            <v>11.38</v>
          </cell>
          <cell r="G35">
            <v>35.832069970845488</v>
          </cell>
        </row>
        <row r="36">
          <cell r="B36">
            <v>9.6300000000000008</v>
          </cell>
          <cell r="G36">
            <v>30.32186588921283</v>
          </cell>
        </row>
        <row r="37">
          <cell r="B37">
            <v>7.88</v>
          </cell>
          <cell r="G37">
            <v>24.811661807580176</v>
          </cell>
        </row>
        <row r="38">
          <cell r="B38">
            <v>6.13</v>
          </cell>
          <cell r="G38">
            <v>19.301457725947522</v>
          </cell>
        </row>
        <row r="39">
          <cell r="B39">
            <v>4.38</v>
          </cell>
          <cell r="G39">
            <v>13.791253644314869</v>
          </cell>
        </row>
        <row r="40">
          <cell r="B40">
            <v>2.63</v>
          </cell>
          <cell r="G40">
            <v>8.2810495626822149</v>
          </cell>
        </row>
        <row r="41">
          <cell r="B41">
            <v>0.88</v>
          </cell>
          <cell r="G41">
            <v>2.7708454810495629</v>
          </cell>
        </row>
        <row r="42">
          <cell r="B42">
            <v>-0.88</v>
          </cell>
          <cell r="G42">
            <v>-2.7708454810495629</v>
          </cell>
        </row>
        <row r="43">
          <cell r="B43">
            <v>-2.63</v>
          </cell>
          <cell r="G43">
            <v>-8.2810495626822149</v>
          </cell>
        </row>
        <row r="44">
          <cell r="B44">
            <v>-4.38</v>
          </cell>
          <cell r="G44">
            <v>-13.791253644314869</v>
          </cell>
        </row>
        <row r="45">
          <cell r="B45">
            <v>-6.13</v>
          </cell>
          <cell r="G45">
            <v>-19.301457725947522</v>
          </cell>
        </row>
        <row r="46">
          <cell r="B46">
            <v>-7.88</v>
          </cell>
          <cell r="G46">
            <v>-24.811661807580176</v>
          </cell>
        </row>
        <row r="47">
          <cell r="B47">
            <v>-9.6300000000000008</v>
          </cell>
          <cell r="G47">
            <v>-30.32186588921283</v>
          </cell>
        </row>
        <row r="48">
          <cell r="B48">
            <v>-11.38</v>
          </cell>
          <cell r="G48">
            <v>-35.832069970845488</v>
          </cell>
        </row>
        <row r="49">
          <cell r="B49">
            <v>-13.13</v>
          </cell>
          <cell r="G49">
            <v>-41.342274052478139</v>
          </cell>
        </row>
        <row r="50">
          <cell r="B50">
            <v>-14.88</v>
          </cell>
          <cell r="G50">
            <v>-46.85247813411079</v>
          </cell>
        </row>
        <row r="51">
          <cell r="B51">
            <v>-16.63</v>
          </cell>
          <cell r="G51">
            <v>-52.36268221574344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B12A-83CC-4490-8117-7A72E0BFF321}">
  <dimension ref="A1:Y62"/>
  <sheetViews>
    <sheetView topLeftCell="A25" zoomScale="85" zoomScaleNormal="85" workbookViewId="0">
      <selection activeCell="R61" sqref="R61"/>
    </sheetView>
  </sheetViews>
  <sheetFormatPr defaultRowHeight="16.5" x14ac:dyDescent="0.3"/>
  <cols>
    <col min="3" max="3" width="4" customWidth="1"/>
    <col min="5" max="9" width="8.875" customWidth="1"/>
    <col min="10" max="10" width="3.75" customWidth="1"/>
    <col min="11" max="11" width="5" customWidth="1"/>
    <col min="12" max="17" width="12.5" customWidth="1"/>
    <col min="20" max="25" width="12.625" customWidth="1"/>
  </cols>
  <sheetData>
    <row r="1" spans="1:25" x14ac:dyDescent="0.3">
      <c r="A1">
        <f>70.698*34.6278+7133</f>
        <v>9581.1162043999993</v>
      </c>
    </row>
    <row r="2" spans="1:25" x14ac:dyDescent="0.3">
      <c r="A2">
        <f>A1/47.45</f>
        <v>201.92025720547943</v>
      </c>
    </row>
    <row r="3" spans="1:25" x14ac:dyDescent="0.3">
      <c r="A3">
        <f>(70.7-47.45)*201.9+71.33*(100-70.7)</f>
        <v>6784.1440000000002</v>
      </c>
    </row>
    <row r="4" spans="1:25" x14ac:dyDescent="0.3">
      <c r="A4">
        <f>95.944*70.7</f>
        <v>6783.2408000000005</v>
      </c>
      <c r="E4" t="s">
        <v>4</v>
      </c>
      <c r="F4" t="s">
        <v>5</v>
      </c>
      <c r="G4" t="s">
        <v>7</v>
      </c>
      <c r="H4" t="s">
        <v>8</v>
      </c>
      <c r="L4">
        <v>1</v>
      </c>
      <c r="M4">
        <v>2</v>
      </c>
      <c r="N4">
        <v>3</v>
      </c>
      <c r="O4">
        <v>4</v>
      </c>
      <c r="P4">
        <v>5</v>
      </c>
      <c r="Q4" t="s">
        <v>17</v>
      </c>
    </row>
    <row r="5" spans="1:25" x14ac:dyDescent="0.3">
      <c r="D5" t="s">
        <v>0</v>
      </c>
      <c r="E5" s="2">
        <v>74.95</v>
      </c>
      <c r="F5" s="2">
        <f>90-E5</f>
        <v>15.049999999999997</v>
      </c>
      <c r="G5" s="2">
        <f>F5*PI()/180</f>
        <v>0.26267205242514652</v>
      </c>
      <c r="H5" s="2">
        <f>SIN(G5)</f>
        <v>0.25966187574449145</v>
      </c>
      <c r="K5" t="s">
        <v>14</v>
      </c>
      <c r="L5" s="2">
        <f>Q10</f>
        <v>964.2700000000001</v>
      </c>
      <c r="M5" s="2">
        <v>119.45</v>
      </c>
      <c r="N5" s="2">
        <v>72.930000000000007</v>
      </c>
      <c r="O5" s="2">
        <v>102.8</v>
      </c>
      <c r="P5" s="2">
        <f>Y10</f>
        <v>643.16000000000008</v>
      </c>
      <c r="Q5" s="2">
        <f>SUM(L5:P5)</f>
        <v>1902.6100000000001</v>
      </c>
    </row>
    <row r="6" spans="1:25" x14ac:dyDescent="0.3">
      <c r="A6">
        <f>10^(1/3)</f>
        <v>2.1544346900318838</v>
      </c>
      <c r="B6">
        <f>10^(1/2)</f>
        <v>3.1622776601683795</v>
      </c>
      <c r="D6" t="s">
        <v>1</v>
      </c>
      <c r="E6" s="2">
        <v>39.9</v>
      </c>
      <c r="F6" s="2">
        <f>90-E6</f>
        <v>50.1</v>
      </c>
      <c r="G6" s="2">
        <f t="shared" ref="G6:G7" si="0">F6*PI()/180</f>
        <v>0.8744099552491591</v>
      </c>
      <c r="H6" s="2">
        <f t="shared" ref="H6:H7" si="1">SIN(G6)</f>
        <v>0.76716515181529954</v>
      </c>
      <c r="K6" t="s">
        <v>15</v>
      </c>
      <c r="L6" s="2">
        <v>27</v>
      </c>
      <c r="M6" s="2">
        <v>90.34</v>
      </c>
      <c r="N6" s="2">
        <v>101.08</v>
      </c>
      <c r="O6" s="2">
        <v>161.36000000000001</v>
      </c>
      <c r="P6" s="2">
        <v>210</v>
      </c>
      <c r="Q6" s="2">
        <f>Q7/Q5</f>
        <v>102.93732052286072</v>
      </c>
    </row>
    <row r="7" spans="1:25" x14ac:dyDescent="0.3">
      <c r="A7">
        <f>200^(1/3)</f>
        <v>5.8480354764257312</v>
      </c>
      <c r="B7">
        <f>200^(1/2)</f>
        <v>14.142135623730951</v>
      </c>
      <c r="D7" t="s">
        <v>3</v>
      </c>
      <c r="E7" s="2"/>
      <c r="F7" s="2">
        <f>180-F5-F6</f>
        <v>114.85</v>
      </c>
      <c r="G7" s="2">
        <f t="shared" si="0"/>
        <v>2.0045106459154876</v>
      </c>
      <c r="H7" s="2">
        <f t="shared" si="1"/>
        <v>0.90741109192869673</v>
      </c>
      <c r="K7" t="s">
        <v>16</v>
      </c>
      <c r="L7" s="2">
        <f>L5*L6</f>
        <v>26035.29</v>
      </c>
      <c r="M7" s="2">
        <f>M5*M6</f>
        <v>10791.113000000001</v>
      </c>
      <c r="N7" s="2">
        <f>N5*N6</f>
        <v>7371.7644000000009</v>
      </c>
      <c r="O7" s="2">
        <f>O5*O6</f>
        <v>16587.808000000001</v>
      </c>
      <c r="P7" s="2">
        <f>P5*P6</f>
        <v>135063.6</v>
      </c>
      <c r="Q7" s="2">
        <f>SUM(L7:P7)</f>
        <v>195849.57540000003</v>
      </c>
    </row>
    <row r="8" spans="1:25" x14ac:dyDescent="0.3">
      <c r="L8" s="2"/>
      <c r="M8" s="2"/>
      <c r="N8" s="2"/>
      <c r="O8" s="2"/>
      <c r="P8" s="2"/>
      <c r="Q8" s="2"/>
    </row>
    <row r="9" spans="1:25" x14ac:dyDescent="0.3">
      <c r="A9">
        <f>817.2876*65.4245</f>
        <v>53470.632586199994</v>
      </c>
      <c r="E9" t="s">
        <v>10</v>
      </c>
      <c r="F9" t="s">
        <v>4</v>
      </c>
      <c r="G9" t="s">
        <v>6</v>
      </c>
      <c r="H9" t="s">
        <v>11</v>
      </c>
      <c r="I9" t="s">
        <v>12</v>
      </c>
      <c r="L9" s="2"/>
      <c r="M9" s="2"/>
      <c r="N9" s="2"/>
      <c r="O9" s="2"/>
      <c r="P9" s="2"/>
      <c r="Q9" s="2"/>
    </row>
    <row r="10" spans="1:25" x14ac:dyDescent="0.3">
      <c r="A10">
        <f>73.16356*65.9205+486.4765*100</f>
        <v>53470.628456980005</v>
      </c>
      <c r="D10" t="s">
        <v>2</v>
      </c>
      <c r="E10" s="1">
        <f>H6*100/H7</f>
        <v>84.544387724498137</v>
      </c>
      <c r="F10" s="1">
        <f>E5</f>
        <v>74.95</v>
      </c>
      <c r="G10" s="1">
        <f>F10*PI()/180</f>
        <v>1.3081242743697499</v>
      </c>
      <c r="H10" s="1">
        <f>E10*COS(G10)</f>
        <v>21.952954300212763</v>
      </c>
      <c r="I10" s="1">
        <f>E10*SIN(G10)</f>
        <v>81.644481094578836</v>
      </c>
      <c r="K10" t="s">
        <v>14</v>
      </c>
      <c r="L10" s="2">
        <v>182.69</v>
      </c>
      <c r="M10" s="2">
        <f>Q15</f>
        <v>662.2600000000001</v>
      </c>
      <c r="N10" s="2">
        <v>76.61</v>
      </c>
      <c r="O10" s="2">
        <v>42.71</v>
      </c>
      <c r="P10" s="2"/>
      <c r="Q10" s="2">
        <f>SUM(L10:P10)</f>
        <v>964.2700000000001</v>
      </c>
      <c r="S10" t="s">
        <v>14</v>
      </c>
      <c r="T10" s="2">
        <v>169.55</v>
      </c>
      <c r="U10" s="2">
        <f>Y15</f>
        <v>293.26000000000005</v>
      </c>
      <c r="V10" s="2">
        <v>140.12</v>
      </c>
      <c r="W10" s="2">
        <v>40.229999999999997</v>
      </c>
      <c r="X10" s="2"/>
      <c r="Y10" s="2">
        <f>SUM(T10:X10)</f>
        <v>643.16000000000008</v>
      </c>
    </row>
    <row r="11" spans="1:25" x14ac:dyDescent="0.3">
      <c r="A11">
        <f>ATAN(1)*180/PI()</f>
        <v>45</v>
      </c>
      <c r="D11" t="s">
        <v>9</v>
      </c>
      <c r="E11" s="1">
        <f>H5*100/H7</f>
        <v>28.615682357660155</v>
      </c>
      <c r="F11" s="1">
        <f>180-E6</f>
        <v>140.1</v>
      </c>
      <c r="G11" s="1">
        <f>F11*PI()/180</f>
        <v>2.4452062820440554</v>
      </c>
      <c r="H11" s="1">
        <f>E11*COS(G11)</f>
        <v>-21.952954300212738</v>
      </c>
      <c r="I11" s="1">
        <f>E11*SIN(G11)</f>
        <v>18.355518905421164</v>
      </c>
      <c r="K11" t="s">
        <v>15</v>
      </c>
      <c r="L11" s="2">
        <v>0</v>
      </c>
      <c r="M11" s="2">
        <v>86.18</v>
      </c>
      <c r="N11" s="2">
        <v>46.21</v>
      </c>
      <c r="O11" s="2">
        <v>210</v>
      </c>
      <c r="P11" s="2">
        <v>210</v>
      </c>
      <c r="Q11" s="2">
        <f>Q12/Q10</f>
        <v>72.161132151783221</v>
      </c>
      <c r="S11" t="s">
        <v>15</v>
      </c>
      <c r="T11" s="2">
        <v>0</v>
      </c>
      <c r="U11" s="2">
        <v>95.41</v>
      </c>
      <c r="V11" s="2">
        <v>160.79</v>
      </c>
      <c r="W11" s="2">
        <v>210</v>
      </c>
      <c r="X11" s="2">
        <v>210</v>
      </c>
      <c r="Y11" s="2">
        <f>Y12/Y10</f>
        <v>91.66946234218544</v>
      </c>
    </row>
    <row r="12" spans="1:25" x14ac:dyDescent="0.3">
      <c r="D12" t="s">
        <v>13</v>
      </c>
      <c r="E12" s="1">
        <f>SQRT(H12^2+I12^2)</f>
        <v>100</v>
      </c>
      <c r="F12" s="1">
        <f>G12*180/PI()</f>
        <v>90</v>
      </c>
      <c r="G12" s="1">
        <f>ACOS(H12/E12)</f>
        <v>1.5707963267948966</v>
      </c>
      <c r="H12" s="1">
        <f>SUM(H10:H11)</f>
        <v>0</v>
      </c>
      <c r="I12" s="1">
        <f>SUM(I10:I11)</f>
        <v>100</v>
      </c>
      <c r="K12" t="s">
        <v>16</v>
      </c>
      <c r="L12" s="2">
        <f>L10*L11</f>
        <v>0</v>
      </c>
      <c r="M12" s="2">
        <f>M10*M11</f>
        <v>57073.566800000015</v>
      </c>
      <c r="N12" s="2">
        <f>N10*N11</f>
        <v>3540.1480999999999</v>
      </c>
      <c r="O12" s="2">
        <f>O10*O11</f>
        <v>8969.1</v>
      </c>
      <c r="P12" s="2">
        <f>P10*P11</f>
        <v>0</v>
      </c>
      <c r="Q12" s="2">
        <f>SUM(L12:P12)</f>
        <v>69582.814900000012</v>
      </c>
      <c r="S12" t="s">
        <v>16</v>
      </c>
      <c r="T12" s="2">
        <f>T10*T11</f>
        <v>0</v>
      </c>
      <c r="U12" s="2">
        <f>U10*U11</f>
        <v>27979.936600000005</v>
      </c>
      <c r="V12" s="2">
        <f>V10*V11</f>
        <v>22529.894799999998</v>
      </c>
      <c r="W12" s="2">
        <f>W10*W11</f>
        <v>8448.2999999999993</v>
      </c>
      <c r="X12" s="2">
        <f>X10*X11</f>
        <v>0</v>
      </c>
      <c r="Y12" s="2">
        <f>SUM(T12:X12)</f>
        <v>58958.131399999998</v>
      </c>
    </row>
    <row r="13" spans="1:25" x14ac:dyDescent="0.3">
      <c r="A13">
        <f>(127+255)/2</f>
        <v>191</v>
      </c>
      <c r="F13" s="3">
        <f>F12-180</f>
        <v>-90</v>
      </c>
      <c r="L13" s="2"/>
      <c r="M13" s="2"/>
      <c r="N13" s="2"/>
      <c r="O13" s="2"/>
      <c r="P13" s="2"/>
      <c r="Q13" s="2"/>
      <c r="T13" s="2"/>
      <c r="U13" s="2"/>
      <c r="V13" s="2"/>
      <c r="W13" s="2"/>
      <c r="X13" s="2"/>
      <c r="Y13" s="2"/>
    </row>
    <row r="14" spans="1:25" x14ac:dyDescent="0.3">
      <c r="A14">
        <f>64+A13</f>
        <v>255</v>
      </c>
      <c r="L14" s="2"/>
      <c r="M14" s="2"/>
      <c r="N14" s="2"/>
      <c r="O14" s="2"/>
      <c r="P14" s="2"/>
      <c r="Q14" s="2"/>
      <c r="T14" s="2"/>
      <c r="U14" s="2"/>
      <c r="V14" s="2"/>
      <c r="W14" s="2"/>
      <c r="X14" s="2"/>
      <c r="Y14" s="2"/>
    </row>
    <row r="15" spans="1:25" x14ac:dyDescent="0.3">
      <c r="A15">
        <f>-64+A13</f>
        <v>127</v>
      </c>
      <c r="K15" t="s">
        <v>14</v>
      </c>
      <c r="L15" s="2">
        <v>151.74</v>
      </c>
      <c r="M15" s="2">
        <v>168.55</v>
      </c>
      <c r="N15" s="2">
        <v>172.43</v>
      </c>
      <c r="O15" s="2">
        <v>29.45</v>
      </c>
      <c r="P15" s="2">
        <v>140.09</v>
      </c>
      <c r="Q15" s="2">
        <f>SUM(L15:P15)</f>
        <v>662.2600000000001</v>
      </c>
      <c r="S15" t="s">
        <v>14</v>
      </c>
      <c r="T15" s="2">
        <v>65.73</v>
      </c>
      <c r="U15" s="2">
        <v>98.62</v>
      </c>
      <c r="V15" s="2">
        <v>63.02</v>
      </c>
      <c r="W15" s="2">
        <v>65.89</v>
      </c>
      <c r="X15" s="2"/>
      <c r="Y15" s="2">
        <f>SUM(T15:X15)</f>
        <v>293.26000000000005</v>
      </c>
    </row>
    <row r="16" spans="1:25" x14ac:dyDescent="0.3">
      <c r="A16">
        <f>191+64</f>
        <v>255</v>
      </c>
      <c r="K16" t="s">
        <v>15</v>
      </c>
      <c r="L16" s="2">
        <v>0</v>
      </c>
      <c r="M16" s="2">
        <v>38.76</v>
      </c>
      <c r="N16" s="2">
        <v>106.71</v>
      </c>
      <c r="O16" s="2">
        <v>141.01</v>
      </c>
      <c r="P16" s="2">
        <v>210</v>
      </c>
      <c r="Q16" s="2">
        <f>Q17/Q15</f>
        <v>88.340905082595953</v>
      </c>
      <c r="S16" t="s">
        <v>15</v>
      </c>
      <c r="T16" s="2">
        <v>0</v>
      </c>
      <c r="U16" s="2">
        <v>88.4</v>
      </c>
      <c r="V16" s="2">
        <v>124.1</v>
      </c>
      <c r="W16" s="2">
        <v>210</v>
      </c>
      <c r="X16" s="2">
        <v>210</v>
      </c>
      <c r="Y16" s="2">
        <f>Y17/Y15</f>
        <v>103.57938348223419</v>
      </c>
    </row>
    <row r="17" spans="3:25" x14ac:dyDescent="0.3">
      <c r="K17" t="s">
        <v>16</v>
      </c>
      <c r="L17" s="2">
        <f>L15*L16</f>
        <v>0</v>
      </c>
      <c r="M17" s="2">
        <f>M15*M16</f>
        <v>6532.9980000000005</v>
      </c>
      <c r="N17" s="2">
        <f>N15*N16</f>
        <v>18400.005300000001</v>
      </c>
      <c r="O17" s="2">
        <f>O15*O16</f>
        <v>4152.7444999999998</v>
      </c>
      <c r="P17" s="2">
        <f>P15*P16</f>
        <v>29418.9</v>
      </c>
      <c r="Q17" s="2">
        <f>SUM(L17:P17)</f>
        <v>58504.647800000006</v>
      </c>
      <c r="S17" t="s">
        <v>16</v>
      </c>
      <c r="T17" s="2">
        <f>T15*T16</f>
        <v>0</v>
      </c>
      <c r="U17" s="2">
        <f>U15*U16</f>
        <v>8718.0080000000016</v>
      </c>
      <c r="V17" s="2">
        <f>V15*V16</f>
        <v>7820.7820000000002</v>
      </c>
      <c r="W17" s="2">
        <f>W15*W16</f>
        <v>13836.9</v>
      </c>
      <c r="X17" s="2">
        <f>X15*X16</f>
        <v>0</v>
      </c>
      <c r="Y17" s="2">
        <f>SUM(T17:X17)</f>
        <v>30375.690000000002</v>
      </c>
    </row>
    <row r="18" spans="3:25" x14ac:dyDescent="0.3">
      <c r="L18" s="2"/>
      <c r="M18" s="2"/>
      <c r="N18" s="2"/>
      <c r="O18" s="2"/>
      <c r="P18" s="2"/>
      <c r="Q18" s="2"/>
      <c r="T18" s="2"/>
      <c r="U18" s="2"/>
      <c r="V18" s="2"/>
      <c r="W18" s="2"/>
      <c r="X18" s="2"/>
      <c r="Y18" s="2"/>
    </row>
    <row r="19" spans="3:25" x14ac:dyDescent="0.3">
      <c r="L19" s="2"/>
      <c r="M19" s="2"/>
      <c r="N19" s="2"/>
      <c r="O19" s="2"/>
      <c r="P19" s="2"/>
      <c r="Q19" s="2"/>
      <c r="T19" s="2"/>
      <c r="U19" s="2"/>
      <c r="V19" s="2"/>
      <c r="W19" s="2"/>
      <c r="X19" s="2"/>
      <c r="Y19" s="2"/>
    </row>
    <row r="21" spans="3:25" x14ac:dyDescent="0.3">
      <c r="D21" t="s">
        <v>26</v>
      </c>
      <c r="E21" t="s">
        <v>11</v>
      </c>
      <c r="F21" t="s">
        <v>19</v>
      </c>
      <c r="G21" t="s">
        <v>24</v>
      </c>
      <c r="H21" t="s">
        <v>25</v>
      </c>
      <c r="I21" t="s">
        <v>27</v>
      </c>
      <c r="L21" t="s">
        <v>29</v>
      </c>
      <c r="M21" t="s">
        <v>28</v>
      </c>
      <c r="P21" t="s">
        <v>26</v>
      </c>
      <c r="Q21" t="s">
        <v>11</v>
      </c>
      <c r="R21" t="s">
        <v>19</v>
      </c>
      <c r="S21" t="s">
        <v>24</v>
      </c>
      <c r="T21" t="s">
        <v>25</v>
      </c>
      <c r="U21" t="s">
        <v>27</v>
      </c>
      <c r="X21" t="s">
        <v>29</v>
      </c>
      <c r="Y21" t="s">
        <v>28</v>
      </c>
    </row>
    <row r="22" spans="3:25" x14ac:dyDescent="0.3">
      <c r="D22" s="1">
        <v>0</v>
      </c>
      <c r="E22" s="1">
        <v>0</v>
      </c>
      <c r="F22" s="1">
        <v>6</v>
      </c>
      <c r="G22" s="1">
        <f>E22-E22</f>
        <v>0</v>
      </c>
      <c r="H22" s="1">
        <f>F22-F22</f>
        <v>0</v>
      </c>
      <c r="I22" s="1">
        <f>D22*G22</f>
        <v>0</v>
      </c>
      <c r="J22" s="1"/>
      <c r="K22" s="1"/>
      <c r="L22" s="1">
        <f>E29</f>
        <v>14.999999999999996</v>
      </c>
      <c r="M22" s="1">
        <f>SQRT($G$29^2+L22^2)</f>
        <v>52.201532544552741</v>
      </c>
      <c r="N22" s="1"/>
      <c r="P22" s="1">
        <v>0</v>
      </c>
      <c r="Q22" s="1">
        <v>0</v>
      </c>
      <c r="R22" s="1">
        <v>0</v>
      </c>
      <c r="S22" s="1">
        <f>Q22-Q22</f>
        <v>0</v>
      </c>
      <c r="T22" s="1">
        <f>R22-R22</f>
        <v>0</v>
      </c>
      <c r="U22" s="1">
        <f>P22*S22</f>
        <v>0</v>
      </c>
      <c r="V22" s="1"/>
      <c r="W22" s="1"/>
      <c r="X22" s="1">
        <f>Q30</f>
        <v>21.439393939393938</v>
      </c>
      <c r="Y22" s="1">
        <f>SQRT($S$30^2+X22^2)</f>
        <v>47.000440172770311</v>
      </c>
    </row>
    <row r="23" spans="3:25" x14ac:dyDescent="0.3">
      <c r="D23" s="1">
        <v>20</v>
      </c>
      <c r="E23" s="1">
        <v>20</v>
      </c>
      <c r="F23" s="1">
        <v>0</v>
      </c>
      <c r="G23" s="1">
        <f>E23-E22</f>
        <v>20</v>
      </c>
      <c r="H23" s="1">
        <f>F23-F22</f>
        <v>-6</v>
      </c>
      <c r="I23" s="1">
        <f>D23*SUM(G22:G23)</f>
        <v>400</v>
      </c>
      <c r="J23" s="1"/>
      <c r="K23" s="1"/>
      <c r="L23" s="1">
        <f>L22-D23</f>
        <v>-5.0000000000000036</v>
      </c>
      <c r="M23" s="1">
        <f t="shared" ref="M23:M24" si="2">SQRT($G$29^2+L23^2)</f>
        <v>50.249378105604443</v>
      </c>
      <c r="N23" s="1"/>
      <c r="P23" s="1">
        <v>15</v>
      </c>
      <c r="Q23" s="1">
        <v>12</v>
      </c>
      <c r="R23" s="1">
        <v>-6.1510600000000002</v>
      </c>
      <c r="S23" s="1">
        <f>Q23-Q22</f>
        <v>12</v>
      </c>
      <c r="T23" s="1">
        <f>R23-R22</f>
        <v>-6.1510600000000002</v>
      </c>
      <c r="U23" s="1">
        <f>P23*SUM(S22:S23)</f>
        <v>180</v>
      </c>
      <c r="V23" s="1"/>
      <c r="W23" s="1"/>
      <c r="X23" s="1">
        <f>X22-P23</f>
        <v>6.4393939393939377</v>
      </c>
      <c r="Y23" s="1">
        <f>SQRT($S$30^2+X23^2)</f>
        <v>42.318548631213034</v>
      </c>
    </row>
    <row r="24" spans="3:25" x14ac:dyDescent="0.3">
      <c r="D24" s="1">
        <v>0</v>
      </c>
      <c r="E24" s="1">
        <v>20</v>
      </c>
      <c r="F24" s="1">
        <v>0</v>
      </c>
      <c r="G24" s="1">
        <f t="shared" ref="G24:G25" si="3">E24-E23</f>
        <v>0</v>
      </c>
      <c r="H24" s="1">
        <f t="shared" ref="H24:H25" si="4">F24-F23</f>
        <v>0</v>
      </c>
      <c r="I24" s="1">
        <f>D24*SUM(G22:G24)</f>
        <v>0</v>
      </c>
      <c r="J24" s="1"/>
      <c r="K24" s="1"/>
      <c r="L24" s="1">
        <f t="shared" ref="L24" si="5">L23-D24</f>
        <v>-5.0000000000000036</v>
      </c>
      <c r="M24" s="1">
        <f t="shared" si="2"/>
        <v>50.249378105604443</v>
      </c>
      <c r="N24" s="1"/>
      <c r="P24" s="1">
        <v>15</v>
      </c>
      <c r="Q24" s="1">
        <v>37</v>
      </c>
      <c r="R24" s="1">
        <v>-10</v>
      </c>
      <c r="S24" s="1">
        <f t="shared" ref="S24:S26" si="6">Q24-Q23</f>
        <v>25</v>
      </c>
      <c r="T24" s="1">
        <f t="shared" ref="T24:T26" si="7">R24-R23</f>
        <v>-3.8489399999999998</v>
      </c>
      <c r="U24" s="1">
        <f>P24*SUM(S22:S24)</f>
        <v>555</v>
      </c>
      <c r="V24" s="1"/>
      <c r="W24" s="1"/>
      <c r="X24" s="1">
        <f t="shared" ref="X24" si="8">X23-P24</f>
        <v>-8.5606060606060623</v>
      </c>
      <c r="Y24" s="1">
        <f>SQRT($S$30^2+X24^2)</f>
        <v>42.692830078018069</v>
      </c>
    </row>
    <row r="25" spans="3:25" x14ac:dyDescent="0.3">
      <c r="D25" s="1">
        <v>0</v>
      </c>
      <c r="E25" s="1">
        <v>30</v>
      </c>
      <c r="F25" s="1">
        <v>1</v>
      </c>
      <c r="G25" s="1">
        <f t="shared" si="3"/>
        <v>10</v>
      </c>
      <c r="H25" s="1">
        <f t="shared" si="4"/>
        <v>1</v>
      </c>
      <c r="I25" s="1">
        <f>D25*SUM(G22:G25)</f>
        <v>0</v>
      </c>
      <c r="J25" s="1"/>
      <c r="K25" s="1"/>
      <c r="L25" s="1"/>
      <c r="M25" s="1"/>
      <c r="N25" s="1"/>
      <c r="P25" s="1">
        <v>10</v>
      </c>
      <c r="Q25" s="1">
        <v>49</v>
      </c>
      <c r="R25" s="1">
        <v>-7.5439230000000004</v>
      </c>
      <c r="S25" s="1">
        <f t="shared" si="6"/>
        <v>12</v>
      </c>
      <c r="T25" s="1">
        <f t="shared" si="7"/>
        <v>2.4560769999999996</v>
      </c>
      <c r="U25" s="1">
        <f>P25*SUM(S22:S25)</f>
        <v>490</v>
      </c>
      <c r="V25" s="1"/>
      <c r="W25" s="1"/>
      <c r="X25" s="1">
        <f t="shared" ref="X25" si="9">X24-P25</f>
        <v>-18.560606060606062</v>
      </c>
      <c r="Y25" s="1">
        <f>SQRT($S$30^2+X25^2)</f>
        <v>45.759041306419938</v>
      </c>
    </row>
    <row r="26" spans="3:25" x14ac:dyDescent="0.3">
      <c r="C26" t="s">
        <v>18</v>
      </c>
      <c r="D26" s="1">
        <f>SUM(D23:D24)</f>
        <v>20</v>
      </c>
      <c r="E26" s="1"/>
      <c r="F26" s="1"/>
      <c r="G26" s="1">
        <f>SUM(G22:G25)</f>
        <v>30</v>
      </c>
      <c r="H26" s="1">
        <f>SUM(H22:H25)</f>
        <v>-5</v>
      </c>
      <c r="I26" s="1">
        <f>SUM(I22:I25)</f>
        <v>400</v>
      </c>
      <c r="J26" s="1"/>
      <c r="K26" s="1"/>
      <c r="L26" s="1"/>
      <c r="M26" s="1"/>
      <c r="N26" s="1"/>
      <c r="P26" s="1">
        <v>0</v>
      </c>
      <c r="Q26" s="1">
        <v>66</v>
      </c>
      <c r="R26" s="1">
        <v>0</v>
      </c>
      <c r="S26" s="1">
        <f t="shared" si="6"/>
        <v>17</v>
      </c>
      <c r="T26" s="1">
        <f t="shared" si="7"/>
        <v>7.5439230000000004</v>
      </c>
      <c r="U26" s="1">
        <f>P26*SUM(S22:S26)</f>
        <v>0</v>
      </c>
      <c r="V26" s="1"/>
      <c r="W26" s="1"/>
      <c r="X26" s="1"/>
      <c r="Y26" s="1"/>
    </row>
    <row r="27" spans="3:25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t="s">
        <v>18</v>
      </c>
      <c r="P27" s="1">
        <f>SUM(P23:P25)</f>
        <v>40</v>
      </c>
      <c r="Q27" s="1"/>
      <c r="R27" s="1"/>
      <c r="S27" s="1">
        <f>SUM(S22:S26)</f>
        <v>66</v>
      </c>
      <c r="T27" s="1">
        <f>SUM(T22:T26)</f>
        <v>0</v>
      </c>
      <c r="U27" s="1">
        <f>SUM(U22:U26)</f>
        <v>1225</v>
      </c>
      <c r="V27" s="1"/>
      <c r="W27" s="1"/>
      <c r="X27" s="1"/>
      <c r="Y27" s="1"/>
    </row>
    <row r="28" spans="3:25" x14ac:dyDescent="0.3">
      <c r="E28" s="1" t="s">
        <v>20</v>
      </c>
      <c r="F28" s="1" t="s">
        <v>21</v>
      </c>
      <c r="G28" s="1" t="s">
        <v>22</v>
      </c>
      <c r="H28" s="1" t="s">
        <v>23</v>
      </c>
      <c r="I28" s="1"/>
      <c r="J28" s="1"/>
      <c r="K28" s="1"/>
      <c r="L28" s="1"/>
      <c r="M28" s="1"/>
      <c r="N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3">
      <c r="D29" s="1"/>
      <c r="E29" s="1">
        <f>(D26-I26/G26)/(1-H26/G26*G23/H23)</f>
        <v>14.999999999999996</v>
      </c>
      <c r="F29" s="1">
        <f>D26-E29</f>
        <v>5.0000000000000036</v>
      </c>
      <c r="G29" s="1">
        <f>G23/H23*E29</f>
        <v>-49.999999999999993</v>
      </c>
      <c r="H29" s="1">
        <f>-G29</f>
        <v>49.999999999999993</v>
      </c>
      <c r="I29" s="1"/>
      <c r="J29" s="1"/>
      <c r="K29" s="1"/>
      <c r="L29" s="1"/>
      <c r="M29" s="1"/>
      <c r="N29" s="1"/>
      <c r="Q29" s="1" t="s">
        <v>20</v>
      </c>
      <c r="R29" s="1" t="s">
        <v>21</v>
      </c>
      <c r="S29" s="1" t="s">
        <v>22</v>
      </c>
      <c r="T29" s="1" t="s">
        <v>23</v>
      </c>
      <c r="U29" s="1"/>
      <c r="V29" s="1"/>
      <c r="W29" s="1"/>
      <c r="X29" s="1"/>
      <c r="Y29" s="1"/>
    </row>
    <row r="30" spans="3:25" x14ac:dyDescent="0.3">
      <c r="D30" s="1"/>
      <c r="E30" s="1">
        <f>D26/(1-H25/G25*G23/H23)</f>
        <v>15</v>
      </c>
      <c r="F30" s="1">
        <f>D26-E30</f>
        <v>5</v>
      </c>
      <c r="G30" s="1">
        <f>E30*G23/H23</f>
        <v>-50</v>
      </c>
      <c r="H30" s="1">
        <f>-G30</f>
        <v>50</v>
      </c>
      <c r="I30" s="1"/>
      <c r="J30" s="1"/>
      <c r="K30" s="1"/>
      <c r="L30" s="1"/>
      <c r="M30" s="1"/>
      <c r="N30" s="1"/>
      <c r="P30" s="1"/>
      <c r="Q30" s="1">
        <f>(P27-U27/S27)/(1-T27/S27*S23/T23)</f>
        <v>21.439393939393938</v>
      </c>
      <c r="R30" s="1">
        <f>P27-Q30</f>
        <v>18.560606060606062</v>
      </c>
      <c r="S30" s="1">
        <f>S23/T23*Q30</f>
        <v>-41.825754792300394</v>
      </c>
      <c r="T30" s="1">
        <f>-S30</f>
        <v>41.825754792300394</v>
      </c>
      <c r="U30" s="1"/>
      <c r="V30" s="1"/>
      <c r="W30" s="1"/>
      <c r="X30" s="1"/>
      <c r="Y30" s="1"/>
    </row>
    <row r="31" spans="3:25" x14ac:dyDescent="0.3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Q31" s="1">
        <f>P27/(1-T26/S26*S23/T23)</f>
        <v>21.439394868233901</v>
      </c>
      <c r="R31" s="1">
        <f>P27-Q31</f>
        <v>18.560605131766099</v>
      </c>
      <c r="S31" s="1">
        <f>Q31*S23/T23</f>
        <v>-41.825756604358723</v>
      </c>
      <c r="T31" s="1">
        <f>-S31</f>
        <v>41.825756604358723</v>
      </c>
      <c r="U31" s="1"/>
      <c r="V31" s="1"/>
      <c r="W31" s="1"/>
      <c r="X31" s="1"/>
      <c r="Y31" s="1"/>
    </row>
    <row r="32" spans="3:25" x14ac:dyDescent="0.3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4:25" x14ac:dyDescent="0.3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4:25" x14ac:dyDescent="0.3">
      <c r="D34" s="1"/>
      <c r="E34" s="1">
        <f>-H29*H26+F29*G26-D23*G23-D24*SUM(G23:G24)</f>
        <v>1.1368683772161603E-13</v>
      </c>
      <c r="F34" s="1"/>
      <c r="G34" s="1"/>
      <c r="H34" s="1"/>
      <c r="I34" s="1"/>
      <c r="J34" s="1"/>
      <c r="K34" s="1"/>
      <c r="L34" s="1"/>
      <c r="M34" s="1"/>
      <c r="N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4:25" x14ac:dyDescent="0.3">
      <c r="D35" s="1"/>
      <c r="E35" s="1">
        <f>-H30*H26+F30*G26-I26</f>
        <v>0</v>
      </c>
      <c r="F35" s="1"/>
      <c r="G35" s="1"/>
      <c r="H35" s="1"/>
      <c r="I35" s="1"/>
      <c r="J35" s="1"/>
      <c r="K35" s="1"/>
      <c r="L35" s="1"/>
      <c r="M35" s="1"/>
      <c r="N35" s="1"/>
      <c r="P35" s="1"/>
      <c r="Q35" s="1">
        <f>-T30*T27+R30*S27-P23*Q23-P24*Q24-P25*Q25</f>
        <v>0</v>
      </c>
      <c r="R35" s="1">
        <f>-T30*T27+R30*S27-U27</f>
        <v>0</v>
      </c>
      <c r="S35" s="1"/>
      <c r="T35" s="1"/>
      <c r="U35" s="1"/>
      <c r="V35" s="1"/>
      <c r="W35" s="1"/>
      <c r="X35" s="1"/>
      <c r="Y35" s="1"/>
    </row>
    <row r="36" spans="4:25" x14ac:dyDescent="0.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P36" s="1"/>
      <c r="Q36" s="1">
        <f>-T31*T27+R31*S27-P23*Q23-P24*Q24-P25*Q25</f>
        <v>-6.130343740551325E-5</v>
      </c>
      <c r="R36" s="1">
        <f>-T31*T27+R31*S27-U27</f>
        <v>-6.130343740551325E-5</v>
      </c>
      <c r="S36" s="1"/>
      <c r="T36" s="1"/>
      <c r="U36" s="1"/>
      <c r="V36" s="1"/>
      <c r="W36" s="1"/>
      <c r="X36" s="1"/>
      <c r="Y36" s="1"/>
    </row>
    <row r="37" spans="4:2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4:25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4:25" x14ac:dyDescent="0.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4:25" x14ac:dyDescent="0.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4:25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4:25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4" spans="4:25" x14ac:dyDescent="0.3">
      <c r="D44" t="s">
        <v>26</v>
      </c>
      <c r="E44" t="s">
        <v>11</v>
      </c>
      <c r="F44" t="s">
        <v>19</v>
      </c>
      <c r="G44" t="s">
        <v>24</v>
      </c>
      <c r="H44" t="s">
        <v>25</v>
      </c>
      <c r="I44" t="s">
        <v>27</v>
      </c>
      <c r="L44" t="s">
        <v>29</v>
      </c>
      <c r="M44" t="s">
        <v>28</v>
      </c>
      <c r="P44" t="s">
        <v>26</v>
      </c>
      <c r="Q44" t="s">
        <v>11</v>
      </c>
      <c r="R44" t="s">
        <v>19</v>
      </c>
      <c r="S44" t="s">
        <v>24</v>
      </c>
      <c r="T44" t="s">
        <v>25</v>
      </c>
      <c r="U44" t="s">
        <v>27</v>
      </c>
      <c r="X44" t="s">
        <v>29</v>
      </c>
      <c r="Y44" t="s">
        <v>28</v>
      </c>
    </row>
    <row r="45" spans="4:25" x14ac:dyDescent="0.3">
      <c r="D45" s="1">
        <v>0</v>
      </c>
      <c r="E45" s="1">
        <v>0</v>
      </c>
      <c r="F45" s="1">
        <v>1</v>
      </c>
      <c r="G45" s="1">
        <f>E45-E45</f>
        <v>0</v>
      </c>
      <c r="H45" s="1">
        <f>F45-F45</f>
        <v>0</v>
      </c>
      <c r="I45" s="1">
        <f>D45*G45</f>
        <v>0</v>
      </c>
      <c r="L45" s="1">
        <f>E52</f>
        <v>5</v>
      </c>
      <c r="M45" s="1">
        <f>SQRT($G$52^2+L45^2)</f>
        <v>15.811388300841896</v>
      </c>
      <c r="N45" s="1"/>
      <c r="P45" s="1">
        <v>0</v>
      </c>
      <c r="Q45" s="1">
        <v>-327.5</v>
      </c>
      <c r="R45" s="1">
        <v>447.5</v>
      </c>
      <c r="S45" s="1">
        <f>Q45-Q45</f>
        <v>0</v>
      </c>
      <c r="T45" s="1">
        <f>R45-R45</f>
        <v>0</v>
      </c>
      <c r="U45" s="1">
        <f>P45*S45</f>
        <v>0</v>
      </c>
      <c r="X45" s="1">
        <f>Q57</f>
        <v>521.45810021623799</v>
      </c>
      <c r="Y45" s="1">
        <f>SQRT($S$57^2+X45^2)</f>
        <v>600.54759221068468</v>
      </c>
    </row>
    <row r="46" spans="4:25" x14ac:dyDescent="0.3">
      <c r="D46" s="1">
        <v>6</v>
      </c>
      <c r="E46" s="1">
        <v>3</v>
      </c>
      <c r="F46" s="1">
        <v>0</v>
      </c>
      <c r="G46" s="1">
        <f>E46-E45</f>
        <v>3</v>
      </c>
      <c r="H46" s="1">
        <f>F46-F45</f>
        <v>-1</v>
      </c>
      <c r="I46" s="1">
        <f>D46*SUM(G45:G46)</f>
        <v>18</v>
      </c>
      <c r="L46" s="1">
        <f>L45-D46</f>
        <v>-1</v>
      </c>
      <c r="M46" s="1">
        <f>SQRT($G$52^2+L46^2)</f>
        <v>15.033296378372908</v>
      </c>
      <c r="N46" s="1"/>
      <c r="P46" s="1">
        <v>193.46</v>
      </c>
      <c r="Q46" s="1">
        <v>-232.79</v>
      </c>
      <c r="R46" s="1">
        <v>281.70999999999998</v>
      </c>
      <c r="S46" s="1">
        <f>Q46-Q45</f>
        <v>94.710000000000008</v>
      </c>
      <c r="T46" s="1">
        <f>R46-R45</f>
        <v>-165.79000000000002</v>
      </c>
      <c r="U46" s="1">
        <f>P46*SUM(S45:S46)</f>
        <v>18322.596600000001</v>
      </c>
      <c r="X46" s="1">
        <f>X45-P46</f>
        <v>327.99810021623796</v>
      </c>
      <c r="Y46" s="1">
        <f>SQRT($S$57^2+X46^2)</f>
        <v>443.08194950187709</v>
      </c>
    </row>
    <row r="47" spans="4:25" x14ac:dyDescent="0.3">
      <c r="D47" s="1">
        <v>3</v>
      </c>
      <c r="E47" s="1">
        <v>6</v>
      </c>
      <c r="F47" s="1">
        <v>0.2</v>
      </c>
      <c r="G47" s="1">
        <f t="shared" ref="G47:G48" si="10">E47-E46</f>
        <v>3</v>
      </c>
      <c r="H47" s="1">
        <f t="shared" ref="H47:H48" si="11">F47-F46</f>
        <v>0.2</v>
      </c>
      <c r="I47" s="1">
        <f>D47*SUM(G45:G47)</f>
        <v>18</v>
      </c>
      <c r="L47" s="1">
        <f>L46-D47</f>
        <v>-4</v>
      </c>
      <c r="M47" s="1">
        <f>SQRT($G$52^2+L47^2)</f>
        <v>15.524174696260024</v>
      </c>
      <c r="P47" s="1">
        <v>130.02000000000001</v>
      </c>
      <c r="Q47" s="1">
        <v>-156.86000000000001</v>
      </c>
      <c r="R47" s="1">
        <v>198.1</v>
      </c>
      <c r="S47" s="1">
        <f t="shared" ref="S47:S49" si="12">Q47-Q46</f>
        <v>75.929999999999978</v>
      </c>
      <c r="T47" s="1">
        <f t="shared" ref="T47:T49" si="13">R47-R46</f>
        <v>-83.609999999999985</v>
      </c>
      <c r="U47" s="1">
        <f>P47*SUM(S45:S47)</f>
        <v>22186.612799999999</v>
      </c>
      <c r="X47" s="1">
        <f t="shared" ref="X47:X48" si="14">X46-P47</f>
        <v>197.97810021623795</v>
      </c>
      <c r="Y47" s="1">
        <f>SQRT($S$57^2+X47^2)</f>
        <v>357.67889005944068</v>
      </c>
    </row>
    <row r="48" spans="4:25" x14ac:dyDescent="0.3">
      <c r="D48" s="1">
        <v>0</v>
      </c>
      <c r="E48" s="1">
        <v>9</v>
      </c>
      <c r="F48" s="1">
        <v>1</v>
      </c>
      <c r="G48" s="1">
        <f t="shared" si="10"/>
        <v>3</v>
      </c>
      <c r="H48" s="1">
        <f t="shared" si="11"/>
        <v>0.8</v>
      </c>
      <c r="I48" s="1">
        <f>D48*SUM(G46:G48)</f>
        <v>0</v>
      </c>
      <c r="P48" s="1">
        <v>138.63999999999999</v>
      </c>
      <c r="Q48" s="1">
        <v>-75.52</v>
      </c>
      <c r="R48" s="1">
        <v>144.05000000000001</v>
      </c>
      <c r="S48" s="1">
        <f t="shared" si="12"/>
        <v>81.340000000000018</v>
      </c>
      <c r="T48" s="1">
        <f t="shared" si="13"/>
        <v>-54.049999999999983</v>
      </c>
      <c r="U48" s="1">
        <f>P48*SUM(S45:S48)</f>
        <v>34934.5072</v>
      </c>
      <c r="X48" s="1">
        <f t="shared" si="14"/>
        <v>59.338100216237962</v>
      </c>
      <c r="Y48" s="1">
        <f>SQRT($S$57^2+X48^2)</f>
        <v>303.7430992898357</v>
      </c>
    </row>
    <row r="49" spans="3:25" x14ac:dyDescent="0.3">
      <c r="C49" t="s">
        <v>18</v>
      </c>
      <c r="D49" s="1">
        <f>SUM(D46:D47)</f>
        <v>9</v>
      </c>
      <c r="E49" s="1"/>
      <c r="F49" s="1"/>
      <c r="G49" s="1">
        <f>SUM(G45:G48)</f>
        <v>9</v>
      </c>
      <c r="H49" s="1">
        <f>SUM(H45:H48)</f>
        <v>0</v>
      </c>
      <c r="I49" s="1">
        <f>SUM(I45:I48)</f>
        <v>36</v>
      </c>
      <c r="P49" s="1">
        <v>118.34</v>
      </c>
      <c r="Q49" s="1">
        <v>-0.99</v>
      </c>
      <c r="R49" s="1">
        <v>129.19999999999999</v>
      </c>
      <c r="S49" s="1">
        <f t="shared" si="12"/>
        <v>74.53</v>
      </c>
      <c r="T49" s="1">
        <f t="shared" si="13"/>
        <v>-14.850000000000023</v>
      </c>
      <c r="U49" s="1">
        <f>P49*SUM(S45:S49)</f>
        <v>38639.193399999996</v>
      </c>
      <c r="X49" s="1">
        <f t="shared" ref="X49:X52" si="15">X48-P49</f>
        <v>-59.001899783762042</v>
      </c>
      <c r="Y49" s="1">
        <f t="shared" ref="Y49:Y52" si="16">SQRT($S$57^2+X49^2)</f>
        <v>303.67759944884938</v>
      </c>
    </row>
    <row r="50" spans="3:25" x14ac:dyDescent="0.3">
      <c r="D50" s="1"/>
      <c r="E50" s="1"/>
      <c r="F50" s="1"/>
      <c r="G50" s="1"/>
      <c r="H50" s="1"/>
      <c r="I50" s="1"/>
      <c r="P50" s="1">
        <v>28.77</v>
      </c>
      <c r="Q50" s="1">
        <v>87.25</v>
      </c>
      <c r="R50" s="1">
        <v>146.68</v>
      </c>
      <c r="S50" s="1">
        <f t="shared" ref="S50:S53" si="17">Q50-Q49</f>
        <v>88.24</v>
      </c>
      <c r="T50" s="1">
        <f t="shared" ref="T50:T53" si="18">R50-R49</f>
        <v>17.480000000000018</v>
      </c>
      <c r="U50" s="1">
        <f>P50*SUM(S45:S50)</f>
        <v>11932.3575</v>
      </c>
      <c r="X50" s="1">
        <f t="shared" si="15"/>
        <v>-87.771899783762038</v>
      </c>
      <c r="Y50" s="1">
        <f t="shared" si="16"/>
        <v>310.55235729353831</v>
      </c>
    </row>
    <row r="51" spans="3:25" x14ac:dyDescent="0.3">
      <c r="D51" s="1"/>
      <c r="E51" s="1" t="s">
        <v>20</v>
      </c>
      <c r="F51" s="1" t="s">
        <v>21</v>
      </c>
      <c r="G51" s="1" t="s">
        <v>22</v>
      </c>
      <c r="H51" s="1" t="s">
        <v>23</v>
      </c>
      <c r="I51" s="1"/>
      <c r="P51" s="1">
        <v>121.84</v>
      </c>
      <c r="Q51" s="1">
        <v>182.23</v>
      </c>
      <c r="R51" s="1">
        <v>174.67</v>
      </c>
      <c r="S51" s="1">
        <f t="shared" si="17"/>
        <v>94.97999999999999</v>
      </c>
      <c r="T51" s="1">
        <f t="shared" si="18"/>
        <v>27.989999999999981</v>
      </c>
      <c r="U51" s="1">
        <f>P51*SUM(S45:S51)</f>
        <v>62105.503200000006</v>
      </c>
      <c r="X51" s="1">
        <f t="shared" si="15"/>
        <v>-209.61189978376206</v>
      </c>
      <c r="Y51" s="1">
        <f t="shared" si="16"/>
        <v>364.24718085371728</v>
      </c>
    </row>
    <row r="52" spans="3:25" x14ac:dyDescent="0.3">
      <c r="D52" s="1"/>
      <c r="E52" s="1">
        <f>(D49-I49/G49)/(1-H49/G49*G46/H46)</f>
        <v>5</v>
      </c>
      <c r="F52" s="1">
        <f>D49-E52</f>
        <v>4</v>
      </c>
      <c r="G52" s="1">
        <f>G46/H46*E52</f>
        <v>-15</v>
      </c>
      <c r="H52" s="1">
        <f>-G52</f>
        <v>15</v>
      </c>
      <c r="I52" s="1"/>
      <c r="P52" s="1">
        <v>49</v>
      </c>
      <c r="Q52" s="1">
        <v>233.11</v>
      </c>
      <c r="R52" s="1">
        <v>210.47</v>
      </c>
      <c r="S52" s="1">
        <f t="shared" si="17"/>
        <v>50.880000000000024</v>
      </c>
      <c r="T52" s="1">
        <f t="shared" si="18"/>
        <v>35.800000000000011</v>
      </c>
      <c r="U52" s="1">
        <f>P52*SUM(S45:S52)</f>
        <v>27469.89</v>
      </c>
      <c r="X52" s="1">
        <f t="shared" si="15"/>
        <v>-258.61189978376206</v>
      </c>
      <c r="Y52" s="1">
        <f t="shared" si="16"/>
        <v>394.48570942264723</v>
      </c>
    </row>
    <row r="53" spans="3:25" x14ac:dyDescent="0.3">
      <c r="D53" s="1"/>
      <c r="E53" s="1">
        <f>D49/(1-H48/G48*G46/H46)</f>
        <v>5</v>
      </c>
      <c r="F53" s="1">
        <f>D49-E53</f>
        <v>4</v>
      </c>
      <c r="G53" s="1">
        <f>E53*G46/H46</f>
        <v>-15</v>
      </c>
      <c r="H53" s="1">
        <f>-G53</f>
        <v>15</v>
      </c>
      <c r="I53" s="1"/>
      <c r="P53" s="1">
        <v>0</v>
      </c>
      <c r="Q53" s="1">
        <v>327.5</v>
      </c>
      <c r="R53" s="1">
        <v>292.41000000000003</v>
      </c>
      <c r="S53" s="1">
        <f t="shared" si="17"/>
        <v>94.389999999999986</v>
      </c>
      <c r="T53" s="1">
        <f t="shared" si="18"/>
        <v>81.940000000000026</v>
      </c>
      <c r="U53" s="1">
        <f>P53*SUM(S45:S53)</f>
        <v>0</v>
      </c>
      <c r="X53" s="1"/>
      <c r="Y53" s="1"/>
    </row>
    <row r="54" spans="3:25" x14ac:dyDescent="0.3">
      <c r="E54" s="1"/>
      <c r="F54" s="1"/>
      <c r="G54" s="1"/>
      <c r="H54" s="1"/>
      <c r="I54" s="1"/>
      <c r="O54" t="s">
        <v>18</v>
      </c>
      <c r="P54" s="1">
        <f>SUM(P45:P53)</f>
        <v>780.07</v>
      </c>
      <c r="Q54" s="1"/>
      <c r="R54" s="1"/>
      <c r="S54" s="1">
        <f>SUM(S45:S53)</f>
        <v>655</v>
      </c>
      <c r="T54" s="1">
        <f>SUM(T45:T53)</f>
        <v>-155.09</v>
      </c>
      <c r="U54" s="1">
        <f>SUM(U45:U53)</f>
        <v>215590.66070000001</v>
      </c>
    </row>
    <row r="55" spans="3:25" x14ac:dyDescent="0.3">
      <c r="D55" s="1"/>
      <c r="E55" s="1"/>
      <c r="F55" s="1"/>
      <c r="G55" s="1"/>
      <c r="H55" s="1"/>
      <c r="I55" s="1"/>
      <c r="P55" s="1"/>
      <c r="Q55" s="1"/>
      <c r="R55" s="1"/>
      <c r="S55" s="1"/>
      <c r="T55" s="1"/>
      <c r="U55" s="1"/>
    </row>
    <row r="56" spans="3:25" x14ac:dyDescent="0.3">
      <c r="D56" s="1"/>
      <c r="E56" s="1"/>
      <c r="F56" s="1"/>
      <c r="G56" s="1"/>
      <c r="H56" s="1"/>
      <c r="I56" s="1"/>
      <c r="Q56" s="1" t="s">
        <v>20</v>
      </c>
      <c r="R56" s="1" t="s">
        <v>21</v>
      </c>
      <c r="S56" s="1" t="s">
        <v>22</v>
      </c>
      <c r="T56" s="1" t="s">
        <v>23</v>
      </c>
      <c r="U56" s="1"/>
    </row>
    <row r="57" spans="3:25" x14ac:dyDescent="0.3">
      <c r="D57" s="1"/>
      <c r="E57" s="1">
        <f>-H52*H49+F52*G49-D46*G46-D47*SUM(G46:G47)</f>
        <v>0</v>
      </c>
      <c r="F57" s="1"/>
      <c r="G57" s="1"/>
      <c r="H57" s="1"/>
      <c r="I57" s="1"/>
      <c r="P57" s="1"/>
      <c r="Q57" s="1">
        <f>(P54-U54/S54)/(1-T54/S54*S46/T46)</f>
        <v>521.45810021623799</v>
      </c>
      <c r="R57" s="1">
        <f>P54-Q57</f>
        <v>258.61189978376206</v>
      </c>
      <c r="S57" s="1">
        <f>S46/T46*Q57</f>
        <v>-297.8906850321485</v>
      </c>
      <c r="T57" s="1">
        <f>-S57</f>
        <v>297.8906850321485</v>
      </c>
      <c r="U57" s="1"/>
    </row>
    <row r="58" spans="3:25" x14ac:dyDescent="0.3">
      <c r="D58" s="1"/>
      <c r="E58" s="1">
        <f>-H53*H49+F53*G49-I49</f>
        <v>0</v>
      </c>
      <c r="F58" s="1"/>
      <c r="G58" s="1"/>
      <c r="H58" s="1"/>
      <c r="I58" s="1"/>
      <c r="P58" s="1"/>
      <c r="Q58" s="1">
        <f>P54/(1-T53/S53*S46/T46)</f>
        <v>521.46670144749839</v>
      </c>
      <c r="R58" s="1">
        <f>P54-Q58</f>
        <v>258.60329855250166</v>
      </c>
      <c r="S58" s="1">
        <f>Q58*S46/T46</f>
        <v>-297.89559861326114</v>
      </c>
      <c r="T58" s="1">
        <f>-S58</f>
        <v>297.89559861326114</v>
      </c>
      <c r="U58" s="1"/>
    </row>
    <row r="59" spans="3:25" x14ac:dyDescent="0.3">
      <c r="D59" s="1"/>
      <c r="I59" s="1"/>
      <c r="P59" s="1"/>
      <c r="Q59" s="1"/>
      <c r="R59" s="1"/>
      <c r="S59" s="1"/>
      <c r="T59" s="1"/>
      <c r="U59" s="1"/>
    </row>
    <row r="60" spans="3:25" x14ac:dyDescent="0.3">
      <c r="D60" s="1"/>
      <c r="I60" s="1"/>
      <c r="P60" s="1"/>
      <c r="Q60" s="1"/>
      <c r="R60" s="1"/>
      <c r="S60" s="1"/>
      <c r="T60" s="1"/>
      <c r="U60" s="1"/>
    </row>
    <row r="61" spans="3:25" x14ac:dyDescent="0.3">
      <c r="D61" s="1"/>
      <c r="I61" s="1"/>
      <c r="P61" s="1"/>
      <c r="Q61" s="1">
        <f>-T57*T54+R57*S54-U54</f>
        <v>0</v>
      </c>
      <c r="R61" s="1">
        <f>-T57*T54+R57*S54-U54</f>
        <v>0</v>
      </c>
      <c r="S61" s="1"/>
      <c r="T61" s="1"/>
      <c r="U61" s="1"/>
    </row>
    <row r="62" spans="3:25" x14ac:dyDescent="0.3">
      <c r="P62" s="1"/>
      <c r="Q62" s="1">
        <f>-T58*T54+R58*S54-U54</f>
        <v>-4.8717591807653662</v>
      </c>
      <c r="R62" s="1">
        <f>-T58*T54+R58*S54-U54</f>
        <v>-4.8717591807653662</v>
      </c>
      <c r="S62" s="1"/>
      <c r="T62" s="1"/>
      <c r="U6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90AC-C7DB-47FE-99C5-5BFA0071C61B}">
  <dimension ref="A1:Q52"/>
  <sheetViews>
    <sheetView tabSelected="1" zoomScale="85" zoomScaleNormal="85" workbookViewId="0">
      <selection sqref="A1:H1"/>
    </sheetView>
  </sheetViews>
  <sheetFormatPr defaultRowHeight="16.5" x14ac:dyDescent="0.3"/>
  <cols>
    <col min="2" max="8" width="12.75" style="5" customWidth="1"/>
    <col min="9" max="17" width="12.75" customWidth="1"/>
  </cols>
  <sheetData>
    <row r="1" spans="1:17" x14ac:dyDescent="0.3">
      <c r="A1" s="4" t="s">
        <v>30</v>
      </c>
      <c r="B1" s="4"/>
      <c r="C1" s="4"/>
      <c r="D1" s="4"/>
      <c r="E1" s="4"/>
      <c r="F1" s="4"/>
      <c r="G1" s="4"/>
      <c r="H1" s="4"/>
      <c r="J1" s="4" t="s">
        <v>31</v>
      </c>
      <c r="K1" s="4"/>
      <c r="L1" s="4"/>
      <c r="M1" s="4"/>
      <c r="N1" s="4"/>
      <c r="O1" s="4"/>
      <c r="P1" s="4"/>
      <c r="Q1" s="4"/>
    </row>
    <row r="2" spans="1:17" x14ac:dyDescent="0.3">
      <c r="A2" t="s">
        <v>11</v>
      </c>
      <c r="B2" s="5">
        <v>0</v>
      </c>
      <c r="C2" s="5">
        <v>25</v>
      </c>
      <c r="D2" s="5">
        <v>50</v>
      </c>
      <c r="E2" s="5">
        <v>75</v>
      </c>
      <c r="F2" s="5">
        <v>100</v>
      </c>
      <c r="G2" s="5">
        <v>125</v>
      </c>
      <c r="H2" s="5">
        <v>150</v>
      </c>
      <c r="I2" s="6"/>
      <c r="J2" t="s">
        <v>11</v>
      </c>
      <c r="K2" s="5">
        <v>0</v>
      </c>
      <c r="L2" s="5">
        <v>50</v>
      </c>
      <c r="M2" s="5">
        <v>100</v>
      </c>
      <c r="N2" s="5">
        <v>150</v>
      </c>
      <c r="O2" s="5">
        <v>200</v>
      </c>
      <c r="P2" s="5">
        <v>250</v>
      </c>
      <c r="Q2" s="5">
        <v>300</v>
      </c>
    </row>
    <row r="3" spans="1:17" x14ac:dyDescent="0.3">
      <c r="A3" t="s">
        <v>12</v>
      </c>
      <c r="B3" s="5">
        <f>B18</f>
        <v>0</v>
      </c>
      <c r="C3" s="5">
        <f t="shared" ref="C3:H3" si="0">C18</f>
        <v>2.5996112730806611</v>
      </c>
      <c r="D3" s="5">
        <f t="shared" si="0"/>
        <v>5.0534499514091351</v>
      </c>
      <c r="E3" s="5">
        <f t="shared" si="0"/>
        <v>7.2157434402332363</v>
      </c>
      <c r="F3" s="5">
        <f t="shared" si="0"/>
        <v>8.9407191448007772</v>
      </c>
      <c r="G3" s="5">
        <f t="shared" si="0"/>
        <v>10.082604470359573</v>
      </c>
      <c r="H3" s="5">
        <f t="shared" si="0"/>
        <v>10.495626822157433</v>
      </c>
      <c r="I3" s="6"/>
      <c r="J3" t="s">
        <v>12</v>
      </c>
      <c r="K3" s="5">
        <f>K18</f>
        <v>0</v>
      </c>
      <c r="L3" s="5">
        <f t="shared" ref="L3:Q3" si="1">L18</f>
        <v>2.2135416666666665</v>
      </c>
      <c r="M3" s="5">
        <f t="shared" si="1"/>
        <v>8.3333333333333339</v>
      </c>
      <c r="N3" s="5">
        <f t="shared" si="1"/>
        <v>17.578125</v>
      </c>
      <c r="O3" s="5">
        <f t="shared" si="1"/>
        <v>29.166666666666664</v>
      </c>
      <c r="P3" s="5">
        <f t="shared" si="1"/>
        <v>42.317708333333329</v>
      </c>
      <c r="Q3" s="5">
        <f t="shared" si="1"/>
        <v>56.25</v>
      </c>
    </row>
    <row r="4" spans="1:17" x14ac:dyDescent="0.3">
      <c r="I4" s="6"/>
      <c r="K4" s="5"/>
      <c r="L4" s="5"/>
      <c r="M4" s="5"/>
      <c r="N4" s="5"/>
      <c r="O4" s="5"/>
      <c r="P4" s="5"/>
      <c r="Q4" s="5"/>
    </row>
    <row r="5" spans="1:17" x14ac:dyDescent="0.3">
      <c r="A5" t="s">
        <v>32</v>
      </c>
      <c r="B5" s="5">
        <f>5000</f>
        <v>5000</v>
      </c>
      <c r="C5" s="5">
        <f>B5</f>
        <v>5000</v>
      </c>
      <c r="D5" s="5">
        <f t="shared" ref="D5:H5" si="2">C5</f>
        <v>5000</v>
      </c>
      <c r="E5" s="5">
        <f t="shared" si="2"/>
        <v>5000</v>
      </c>
      <c r="F5" s="5">
        <f t="shared" si="2"/>
        <v>5000</v>
      </c>
      <c r="G5" s="5">
        <f t="shared" si="2"/>
        <v>5000</v>
      </c>
      <c r="H5" s="5">
        <f t="shared" si="2"/>
        <v>5000</v>
      </c>
      <c r="I5" s="6"/>
      <c r="J5" t="s">
        <v>32</v>
      </c>
      <c r="K5" s="5">
        <f>5000</f>
        <v>5000</v>
      </c>
      <c r="L5" s="5">
        <f>K5</f>
        <v>5000</v>
      </c>
      <c r="M5" s="5">
        <f t="shared" ref="M5:Q7" si="3">L5</f>
        <v>5000</v>
      </c>
      <c r="N5" s="5">
        <f t="shared" si="3"/>
        <v>5000</v>
      </c>
      <c r="O5" s="5">
        <f t="shared" si="3"/>
        <v>5000</v>
      </c>
      <c r="P5" s="5">
        <f t="shared" si="3"/>
        <v>5000</v>
      </c>
      <c r="Q5" s="5">
        <f t="shared" si="3"/>
        <v>5000</v>
      </c>
    </row>
    <row r="6" spans="1:17" x14ac:dyDescent="0.3">
      <c r="A6" t="s">
        <v>33</v>
      </c>
      <c r="B6" s="5">
        <v>30</v>
      </c>
      <c r="C6" s="5">
        <f t="shared" ref="C6:H10" si="4">B6</f>
        <v>30</v>
      </c>
      <c r="D6" s="5">
        <f t="shared" si="4"/>
        <v>30</v>
      </c>
      <c r="E6" s="5">
        <f t="shared" si="4"/>
        <v>30</v>
      </c>
      <c r="F6" s="5">
        <f t="shared" si="4"/>
        <v>30</v>
      </c>
      <c r="G6" s="5">
        <f t="shared" si="4"/>
        <v>30</v>
      </c>
      <c r="H6" s="5">
        <f t="shared" si="4"/>
        <v>30</v>
      </c>
      <c r="I6" s="6"/>
      <c r="J6" t="s">
        <v>33</v>
      </c>
      <c r="K6" s="5">
        <v>30</v>
      </c>
      <c r="L6" s="5">
        <f>K6</f>
        <v>30</v>
      </c>
      <c r="M6" s="5">
        <f t="shared" si="3"/>
        <v>30</v>
      </c>
      <c r="N6" s="5">
        <f t="shared" si="3"/>
        <v>30</v>
      </c>
      <c r="O6" s="5">
        <f t="shared" si="3"/>
        <v>30</v>
      </c>
      <c r="P6" s="5">
        <f t="shared" si="3"/>
        <v>30</v>
      </c>
      <c r="Q6" s="5">
        <f t="shared" si="3"/>
        <v>30</v>
      </c>
    </row>
    <row r="7" spans="1:17" x14ac:dyDescent="0.3">
      <c r="A7" t="s">
        <v>34</v>
      </c>
      <c r="B7" s="5">
        <v>35</v>
      </c>
      <c r="C7" s="5">
        <f t="shared" si="4"/>
        <v>35</v>
      </c>
      <c r="D7" s="5">
        <f t="shared" si="4"/>
        <v>35</v>
      </c>
      <c r="E7" s="5">
        <f t="shared" si="4"/>
        <v>35</v>
      </c>
      <c r="F7" s="5">
        <f t="shared" si="4"/>
        <v>35</v>
      </c>
      <c r="G7" s="5">
        <f t="shared" si="4"/>
        <v>35</v>
      </c>
      <c r="H7" s="5">
        <f t="shared" si="4"/>
        <v>35</v>
      </c>
      <c r="I7" s="6"/>
      <c r="J7" t="s">
        <v>34</v>
      </c>
      <c r="K7" s="5">
        <v>40</v>
      </c>
      <c r="L7" s="5">
        <f>K7</f>
        <v>40</v>
      </c>
      <c r="M7" s="5">
        <f t="shared" si="3"/>
        <v>40</v>
      </c>
      <c r="N7" s="5">
        <f t="shared" si="3"/>
        <v>40</v>
      </c>
      <c r="O7" s="5">
        <f t="shared" si="3"/>
        <v>40</v>
      </c>
      <c r="P7" s="5">
        <f t="shared" si="3"/>
        <v>40</v>
      </c>
      <c r="Q7" s="5">
        <f t="shared" si="3"/>
        <v>40</v>
      </c>
    </row>
    <row r="8" spans="1:17" x14ac:dyDescent="0.3">
      <c r="A8" t="s">
        <v>35</v>
      </c>
      <c r="B8" s="5">
        <f>B6*B7^3/12</f>
        <v>107187.5</v>
      </c>
      <c r="C8" s="5">
        <f t="shared" si="4"/>
        <v>107187.5</v>
      </c>
      <c r="D8" s="5">
        <f t="shared" si="4"/>
        <v>107187.5</v>
      </c>
      <c r="E8" s="5">
        <f t="shared" si="4"/>
        <v>107187.5</v>
      </c>
      <c r="F8" s="5">
        <f t="shared" si="4"/>
        <v>107187.5</v>
      </c>
      <c r="G8" s="5">
        <f t="shared" si="4"/>
        <v>107187.5</v>
      </c>
      <c r="H8" s="5">
        <f t="shared" si="4"/>
        <v>107187.5</v>
      </c>
      <c r="I8" s="6"/>
      <c r="J8" t="s">
        <v>35</v>
      </c>
      <c r="K8" s="5">
        <f>K6*K7^3/12</f>
        <v>160000</v>
      </c>
      <c r="L8" s="5">
        <f t="shared" ref="L8:Q10" si="5">K8</f>
        <v>160000</v>
      </c>
      <c r="M8" s="5">
        <f t="shared" si="5"/>
        <v>160000</v>
      </c>
      <c r="N8" s="5">
        <f t="shared" si="5"/>
        <v>160000</v>
      </c>
      <c r="O8" s="5">
        <f t="shared" si="5"/>
        <v>160000</v>
      </c>
      <c r="P8" s="5">
        <f t="shared" si="5"/>
        <v>160000</v>
      </c>
      <c r="Q8" s="5">
        <f t="shared" si="5"/>
        <v>160000</v>
      </c>
    </row>
    <row r="9" spans="1:17" x14ac:dyDescent="0.3">
      <c r="A9" t="s">
        <v>36</v>
      </c>
      <c r="B9" s="5">
        <v>10000</v>
      </c>
      <c r="C9" s="5">
        <f t="shared" si="4"/>
        <v>10000</v>
      </c>
      <c r="D9" s="5">
        <f t="shared" si="4"/>
        <v>10000</v>
      </c>
      <c r="E9" s="5">
        <f t="shared" si="4"/>
        <v>10000</v>
      </c>
      <c r="F9" s="5">
        <f t="shared" si="4"/>
        <v>10000</v>
      </c>
      <c r="G9" s="5">
        <f t="shared" si="4"/>
        <v>10000</v>
      </c>
      <c r="H9" s="5">
        <f t="shared" si="4"/>
        <v>10000</v>
      </c>
      <c r="I9" s="6"/>
      <c r="J9" t="s">
        <v>36</v>
      </c>
      <c r="K9" s="5">
        <v>5000</v>
      </c>
      <c r="L9" s="5">
        <f t="shared" si="5"/>
        <v>5000</v>
      </c>
      <c r="M9" s="5">
        <f t="shared" si="5"/>
        <v>5000</v>
      </c>
      <c r="N9" s="5">
        <f t="shared" si="5"/>
        <v>5000</v>
      </c>
      <c r="O9" s="5">
        <f t="shared" si="5"/>
        <v>5000</v>
      </c>
      <c r="P9" s="5">
        <f t="shared" si="5"/>
        <v>5000</v>
      </c>
      <c r="Q9" s="5">
        <f t="shared" si="5"/>
        <v>5000</v>
      </c>
    </row>
    <row r="10" spans="1:17" x14ac:dyDescent="0.3">
      <c r="A10" t="s">
        <v>37</v>
      </c>
      <c r="B10" s="5">
        <v>300</v>
      </c>
      <c r="C10" s="5">
        <f t="shared" si="4"/>
        <v>300</v>
      </c>
      <c r="D10" s="5">
        <f t="shared" si="4"/>
        <v>300</v>
      </c>
      <c r="E10" s="5">
        <f t="shared" si="4"/>
        <v>300</v>
      </c>
      <c r="F10" s="5">
        <f t="shared" si="4"/>
        <v>300</v>
      </c>
      <c r="G10" s="5">
        <f t="shared" si="4"/>
        <v>300</v>
      </c>
      <c r="H10" s="5">
        <f t="shared" si="4"/>
        <v>300</v>
      </c>
      <c r="I10" s="6"/>
      <c r="J10" t="s">
        <v>37</v>
      </c>
      <c r="K10" s="5">
        <v>300</v>
      </c>
      <c r="L10" s="5">
        <f t="shared" si="5"/>
        <v>300</v>
      </c>
      <c r="M10" s="5">
        <f t="shared" si="5"/>
        <v>300</v>
      </c>
      <c r="N10" s="5">
        <f t="shared" si="5"/>
        <v>300</v>
      </c>
      <c r="O10" s="5">
        <f t="shared" si="5"/>
        <v>300</v>
      </c>
      <c r="P10" s="5">
        <f t="shared" si="5"/>
        <v>300</v>
      </c>
      <c r="Q10" s="5">
        <f t="shared" si="5"/>
        <v>300</v>
      </c>
    </row>
    <row r="11" spans="1:17" x14ac:dyDescent="0.3">
      <c r="K11" s="5"/>
      <c r="L11" s="5"/>
      <c r="M11" s="5"/>
      <c r="N11" s="5"/>
      <c r="O11" s="5"/>
      <c r="P11" s="5"/>
      <c r="Q11" s="5"/>
    </row>
    <row r="12" spans="1:17" x14ac:dyDescent="0.3">
      <c r="A12" t="s">
        <v>38</v>
      </c>
      <c r="B12" s="5">
        <f>B9*B10^2/(16*B5*B8)</f>
        <v>0.10495626822157435</v>
      </c>
      <c r="C12" s="5">
        <f>C9*C10^2/(16*C5*C8)</f>
        <v>0.10495626822157435</v>
      </c>
      <c r="D12" s="5">
        <f>D9*D10^2/(16*D5*D8)</f>
        <v>0.10495626822157435</v>
      </c>
      <c r="E12" s="5">
        <f>E9*E10^2/(16*E5*E8)</f>
        <v>0.10495626822157435</v>
      </c>
      <c r="F12" s="5">
        <f>F9*F10^2/(16*F5*F8)</f>
        <v>0.10495626822157435</v>
      </c>
      <c r="G12" s="5">
        <f>G9*G10^2/(16*G5*G8)</f>
        <v>0.10495626822157435</v>
      </c>
      <c r="H12" s="5">
        <f>H9*H10^2/(16*H5*H8)</f>
        <v>0.10495626822157435</v>
      </c>
      <c r="I12" s="6"/>
      <c r="J12" t="s">
        <v>39</v>
      </c>
      <c r="K12" s="5">
        <f>K9*K10*K2/(K5*K8)</f>
        <v>0</v>
      </c>
      <c r="L12" s="5">
        <f t="shared" ref="L12:Q12" si="6">L9*L10*L2/(L5*L8)</f>
        <v>9.375E-2</v>
      </c>
      <c r="M12" s="5">
        <f t="shared" si="6"/>
        <v>0.1875</v>
      </c>
      <c r="N12" s="5">
        <f t="shared" si="6"/>
        <v>0.28125</v>
      </c>
      <c r="O12" s="5">
        <f t="shared" si="6"/>
        <v>0.375</v>
      </c>
      <c r="P12" s="5">
        <f t="shared" si="6"/>
        <v>0.46875</v>
      </c>
      <c r="Q12" s="5">
        <f t="shared" si="6"/>
        <v>0.5625</v>
      </c>
    </row>
    <row r="13" spans="1:17" x14ac:dyDescent="0.3">
      <c r="A13" s="7" t="s">
        <v>40</v>
      </c>
      <c r="B13" s="5">
        <f>-B9*B2^2/(4*B5*B8)</f>
        <v>0</v>
      </c>
      <c r="C13" s="5">
        <f>-C9*C2^2/(4*C5*C8)</f>
        <v>-2.9154518950437317E-3</v>
      </c>
      <c r="D13" s="5">
        <f>-D9*D2^2/(4*D5*D8)</f>
        <v>-1.1661807580174927E-2</v>
      </c>
      <c r="E13" s="5">
        <f>-E9*E2^2/(4*E5*E8)</f>
        <v>-2.6239067055393587E-2</v>
      </c>
      <c r="F13" s="5">
        <f>-F9*F2^2/(4*F5*F8)</f>
        <v>-4.6647230320699708E-2</v>
      </c>
      <c r="G13" s="5">
        <f>-G9*G2^2/(4*G5*G8)</f>
        <v>-7.2886297376093298E-2</v>
      </c>
      <c r="H13" s="5">
        <f>-H9*H2^2/(4*H5*H8)</f>
        <v>-0.10495626822157435</v>
      </c>
      <c r="I13" s="6"/>
      <c r="J13" s="7" t="s">
        <v>41</v>
      </c>
      <c r="K13" s="5">
        <f>-K9*K2^2/(2*K5*K8)</f>
        <v>0</v>
      </c>
      <c r="L13" s="5">
        <f t="shared" ref="L13:Q13" si="7">-L9*L2^2/(2*L5*L8)</f>
        <v>-7.8125E-3</v>
      </c>
      <c r="M13" s="5">
        <f t="shared" si="7"/>
        <v>-3.125E-2</v>
      </c>
      <c r="N13" s="5">
        <f t="shared" si="7"/>
        <v>-7.03125E-2</v>
      </c>
      <c r="O13" s="5">
        <f t="shared" si="7"/>
        <v>-0.125</v>
      </c>
      <c r="P13" s="5">
        <f t="shared" si="7"/>
        <v>-0.1953125</v>
      </c>
      <c r="Q13" s="5">
        <f t="shared" si="7"/>
        <v>-0.28125</v>
      </c>
    </row>
    <row r="14" spans="1:17" x14ac:dyDescent="0.3">
      <c r="A14" t="s">
        <v>42</v>
      </c>
      <c r="B14" s="5">
        <f>B12+B13</f>
        <v>0.10495626822157435</v>
      </c>
      <c r="C14" s="5">
        <f t="shared" ref="C14:H14" si="8">C12+C13</f>
        <v>0.10204081632653061</v>
      </c>
      <c r="D14" s="5">
        <f t="shared" si="8"/>
        <v>9.3294460641399415E-2</v>
      </c>
      <c r="E14" s="5">
        <f t="shared" si="8"/>
        <v>7.8717201166180764E-2</v>
      </c>
      <c r="F14" s="5">
        <f t="shared" si="8"/>
        <v>5.830903790087464E-2</v>
      </c>
      <c r="G14" s="5">
        <f t="shared" si="8"/>
        <v>3.2069970845481049E-2</v>
      </c>
      <c r="H14" s="5">
        <f t="shared" si="8"/>
        <v>0</v>
      </c>
      <c r="I14" s="6"/>
      <c r="J14" t="s">
        <v>42</v>
      </c>
      <c r="K14" s="5">
        <f>K12+K13</f>
        <v>0</v>
      </c>
      <c r="L14" s="5">
        <f t="shared" ref="L14:Q14" si="9">L12+L13</f>
        <v>8.59375E-2</v>
      </c>
      <c r="M14" s="5">
        <f t="shared" si="9"/>
        <v>0.15625</v>
      </c>
      <c r="N14" s="5">
        <f t="shared" si="9"/>
        <v>0.2109375</v>
      </c>
      <c r="O14" s="5">
        <f t="shared" si="9"/>
        <v>0.25</v>
      </c>
      <c r="P14" s="5">
        <f t="shared" si="9"/>
        <v>0.2734375</v>
      </c>
      <c r="Q14" s="5">
        <f t="shared" si="9"/>
        <v>0.28125</v>
      </c>
    </row>
    <row r="15" spans="1:17" x14ac:dyDescent="0.3">
      <c r="I15" s="6"/>
      <c r="K15" s="5"/>
      <c r="L15" s="5"/>
      <c r="M15" s="5"/>
      <c r="N15" s="5"/>
      <c r="O15" s="5"/>
      <c r="P15" s="5"/>
      <c r="Q15" s="5"/>
    </row>
    <row r="16" spans="1:17" x14ac:dyDescent="0.3">
      <c r="A16" t="s">
        <v>43</v>
      </c>
      <c r="B16" s="5">
        <f>B9*B10^2*B2/(16*B5*B8)</f>
        <v>0</v>
      </c>
      <c r="C16" s="5">
        <f t="shared" ref="C16:H16" si="10">C9*C10^2*C2/(16*C5*C8)</f>
        <v>2.6239067055393588</v>
      </c>
      <c r="D16" s="5">
        <f t="shared" si="10"/>
        <v>5.2478134110787176</v>
      </c>
      <c r="E16" s="5">
        <f t="shared" si="10"/>
        <v>7.8717201166180759</v>
      </c>
      <c r="F16" s="5">
        <f t="shared" si="10"/>
        <v>10.495626822157435</v>
      </c>
      <c r="G16" s="5">
        <f t="shared" si="10"/>
        <v>13.119533527696793</v>
      </c>
      <c r="H16" s="5">
        <f t="shared" si="10"/>
        <v>15.743440233236152</v>
      </c>
      <c r="I16" s="6"/>
      <c r="J16" t="s">
        <v>44</v>
      </c>
      <c r="K16" s="5">
        <f>K9*K10*K2^2/(2*K5*K8)</f>
        <v>0</v>
      </c>
      <c r="L16" s="5">
        <f t="shared" ref="L16:Q16" si="11">L9*L10*L2^2/(2*L5*L8)</f>
        <v>2.34375</v>
      </c>
      <c r="M16" s="5">
        <f t="shared" si="11"/>
        <v>9.375</v>
      </c>
      <c r="N16" s="5">
        <f t="shared" si="11"/>
        <v>21.09375</v>
      </c>
      <c r="O16" s="5">
        <f t="shared" si="11"/>
        <v>37.5</v>
      </c>
      <c r="P16" s="5">
        <f t="shared" si="11"/>
        <v>58.59375</v>
      </c>
      <c r="Q16" s="5">
        <f t="shared" si="11"/>
        <v>84.375</v>
      </c>
    </row>
    <row r="17" spans="1:17" x14ac:dyDescent="0.3">
      <c r="A17" s="7" t="s">
        <v>45</v>
      </c>
      <c r="B17" s="5">
        <f>-B9*B2^3/(12*B5*B8)</f>
        <v>0</v>
      </c>
      <c r="C17" s="5">
        <f t="shared" ref="C17:H17" si="12">-C9*C2^3/(12*C5*C8)</f>
        <v>-2.4295432458697766E-2</v>
      </c>
      <c r="D17" s="5">
        <f t="shared" si="12"/>
        <v>-0.19436345966958213</v>
      </c>
      <c r="E17" s="5">
        <f t="shared" si="12"/>
        <v>-0.6559766763848397</v>
      </c>
      <c r="F17" s="5">
        <f t="shared" si="12"/>
        <v>-1.554907677356657</v>
      </c>
      <c r="G17" s="5">
        <f t="shared" si="12"/>
        <v>-3.0369290573372205</v>
      </c>
      <c r="H17" s="5">
        <f t="shared" si="12"/>
        <v>-5.2478134110787176</v>
      </c>
      <c r="I17" s="6"/>
      <c r="J17" s="7" t="s">
        <v>46</v>
      </c>
      <c r="K17" s="5">
        <f>-K9*K2^3/(6*K5*K8)</f>
        <v>0</v>
      </c>
      <c r="L17" s="5">
        <f t="shared" ref="L17:Q17" si="13">-L9*L2^3/(6*L5*L8)</f>
        <v>-0.13020833333333334</v>
      </c>
      <c r="M17" s="5">
        <f t="shared" si="13"/>
        <v>-1.0416666666666667</v>
      </c>
      <c r="N17" s="5">
        <f t="shared" si="13"/>
        <v>-3.515625</v>
      </c>
      <c r="O17" s="5">
        <f t="shared" si="13"/>
        <v>-8.3333333333333339</v>
      </c>
      <c r="P17" s="5">
        <f t="shared" si="13"/>
        <v>-16.276041666666668</v>
      </c>
      <c r="Q17" s="5">
        <f t="shared" si="13"/>
        <v>-28.125</v>
      </c>
    </row>
    <row r="18" spans="1:17" x14ac:dyDescent="0.3">
      <c r="A18" t="s">
        <v>47</v>
      </c>
      <c r="B18" s="5">
        <f>B16+B17</f>
        <v>0</v>
      </c>
      <c r="C18" s="5">
        <f t="shared" ref="C18:H18" si="14">C16+C17</f>
        <v>2.5996112730806611</v>
      </c>
      <c r="D18" s="5">
        <f t="shared" si="14"/>
        <v>5.0534499514091351</v>
      </c>
      <c r="E18" s="5">
        <f t="shared" si="14"/>
        <v>7.2157434402332363</v>
      </c>
      <c r="F18" s="5">
        <f t="shared" si="14"/>
        <v>8.9407191448007772</v>
      </c>
      <c r="G18" s="5">
        <f t="shared" si="14"/>
        <v>10.082604470359573</v>
      </c>
      <c r="H18" s="5">
        <f t="shared" si="14"/>
        <v>10.495626822157433</v>
      </c>
      <c r="I18" s="6"/>
      <c r="J18" t="s">
        <v>47</v>
      </c>
      <c r="K18" s="5">
        <f>K16+K17</f>
        <v>0</v>
      </c>
      <c r="L18" s="5">
        <f t="shared" ref="L18:Q18" si="15">L16+L17</f>
        <v>2.2135416666666665</v>
      </c>
      <c r="M18" s="5">
        <f t="shared" si="15"/>
        <v>8.3333333333333339</v>
      </c>
      <c r="N18" s="5">
        <f t="shared" si="15"/>
        <v>17.578125</v>
      </c>
      <c r="O18" s="5">
        <f t="shared" si="15"/>
        <v>29.166666666666664</v>
      </c>
      <c r="P18" s="5">
        <f t="shared" si="15"/>
        <v>42.317708333333329</v>
      </c>
      <c r="Q18" s="5">
        <f t="shared" si="15"/>
        <v>56.25</v>
      </c>
    </row>
    <row r="19" spans="1:17" x14ac:dyDescent="0.3">
      <c r="K19" s="5"/>
      <c r="L19" s="5"/>
      <c r="M19" s="5"/>
      <c r="N19" s="5"/>
      <c r="O19" s="5"/>
      <c r="P19" s="5"/>
      <c r="Q19" s="5"/>
    </row>
    <row r="20" spans="1:17" x14ac:dyDescent="0.3">
      <c r="A20" t="s">
        <v>48</v>
      </c>
      <c r="B20" s="5">
        <f>COS(B14)</f>
        <v>0.99449714520141286</v>
      </c>
      <c r="C20" s="5">
        <f>COS(C14)</f>
        <v>0.99479835169156194</v>
      </c>
      <c r="D20" s="5">
        <f>COS(D14)</f>
        <v>0.995651227437653</v>
      </c>
      <c r="E20" s="5">
        <f>COS(E14)</f>
        <v>0.9969034005959333</v>
      </c>
      <c r="F20" s="5">
        <f>COS(F14)</f>
        <v>0.99830050964572636</v>
      </c>
      <c r="G20" s="5">
        <f>COS(G14)</f>
        <v>0.99948580255753006</v>
      </c>
      <c r="H20" s="5">
        <f>COS(H14)</f>
        <v>1</v>
      </c>
      <c r="J20" t="s">
        <v>48</v>
      </c>
      <c r="K20" s="5">
        <f>COS(K14)</f>
        <v>1</v>
      </c>
      <c r="L20" s="5">
        <f>COS(L14)</f>
        <v>0.99630964506979802</v>
      </c>
      <c r="M20" s="5">
        <f>COS(M14)</f>
        <v>0.98781778381647189</v>
      </c>
      <c r="N20" s="5">
        <f>COS(N14)</f>
        <v>0.97783505379795976</v>
      </c>
      <c r="O20" s="5">
        <f>COS(O14)</f>
        <v>0.96891242171064473</v>
      </c>
      <c r="P20" s="5">
        <f>COS(P14)</f>
        <v>0.9628483147093797</v>
      </c>
      <c r="Q20" s="5">
        <f>COS(Q14)</f>
        <v>0.96070924301556193</v>
      </c>
    </row>
    <row r="21" spans="1:17" x14ac:dyDescent="0.3">
      <c r="A21" t="s">
        <v>49</v>
      </c>
      <c r="B21" s="5">
        <f>SIN(B14)</f>
        <v>0.10476367780027608</v>
      </c>
      <c r="C21" s="5">
        <f>SIN(C14)</f>
        <v>0.10186382808314016</v>
      </c>
      <c r="D21" s="5">
        <f>SIN(D14)</f>
        <v>9.3159182595678125E-2</v>
      </c>
      <c r="E21" s="5">
        <f>SIN(E14)</f>
        <v>7.86359325007603E-2</v>
      </c>
      <c r="F21" s="5">
        <f>SIN(F14)</f>
        <v>5.8276002274375273E-2</v>
      </c>
      <c r="G21" s="5">
        <f>SIN(G14)</f>
        <v>3.2064473891366845E-2</v>
      </c>
      <c r="H21" s="5">
        <f>SIN(H14)</f>
        <v>0</v>
      </c>
      <c r="J21" t="s">
        <v>49</v>
      </c>
      <c r="K21" s="5">
        <f>SIN(K14)</f>
        <v>0</v>
      </c>
      <c r="L21" s="5">
        <f>SIN(L14)</f>
        <v>8.5831760676879351E-2</v>
      </c>
      <c r="M21" s="5">
        <f>SIN(M14)</f>
        <v>0.15561499277355603</v>
      </c>
      <c r="N21" s="5">
        <f>SIN(N14)</f>
        <v>0.20937671208599365</v>
      </c>
      <c r="O21" s="5">
        <f>SIN(O14)</f>
        <v>0.24740395925452294</v>
      </c>
      <c r="P21" s="5">
        <f>SIN(P14)</f>
        <v>0.27004281671858504</v>
      </c>
      <c r="Q21" s="5">
        <f>SIN(Q14)</f>
        <v>0.27755675164633631</v>
      </c>
    </row>
    <row r="22" spans="1:17" x14ac:dyDescent="0.3">
      <c r="A22" t="s">
        <v>11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J22" t="s">
        <v>11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</row>
    <row r="23" spans="1:17" x14ac:dyDescent="0.3">
      <c r="A23" t="s">
        <v>12</v>
      </c>
      <c r="B23" s="5">
        <f>-B7</f>
        <v>-35</v>
      </c>
      <c r="C23" s="5">
        <f>B23</f>
        <v>-35</v>
      </c>
      <c r="D23" s="5">
        <f t="shared" ref="D23:H23" si="16">C23</f>
        <v>-35</v>
      </c>
      <c r="E23" s="5">
        <f t="shared" si="16"/>
        <v>-35</v>
      </c>
      <c r="F23" s="5">
        <f t="shared" si="16"/>
        <v>-35</v>
      </c>
      <c r="G23" s="5">
        <f t="shared" si="16"/>
        <v>-35</v>
      </c>
      <c r="H23" s="5">
        <f t="shared" si="16"/>
        <v>-35</v>
      </c>
      <c r="J23" t="s">
        <v>12</v>
      </c>
      <c r="K23" s="5">
        <f>-K7</f>
        <v>-40</v>
      </c>
      <c r="L23" s="5">
        <f>K23</f>
        <v>-40</v>
      </c>
      <c r="M23" s="5">
        <f t="shared" ref="M23:Q23" si="17">L23</f>
        <v>-40</v>
      </c>
      <c r="N23" s="5">
        <f t="shared" si="17"/>
        <v>-40</v>
      </c>
      <c r="O23" s="5">
        <f t="shared" si="17"/>
        <v>-40</v>
      </c>
      <c r="P23" s="5">
        <f t="shared" si="17"/>
        <v>-40</v>
      </c>
      <c r="Q23" s="5">
        <f t="shared" si="17"/>
        <v>-40</v>
      </c>
    </row>
    <row r="24" spans="1:17" x14ac:dyDescent="0.3">
      <c r="K24" s="5"/>
      <c r="L24" s="5"/>
      <c r="M24" s="5"/>
      <c r="N24" s="5"/>
      <c r="O24" s="5"/>
      <c r="P24" s="5"/>
      <c r="Q24" s="5"/>
    </row>
    <row r="25" spans="1:17" x14ac:dyDescent="0.3">
      <c r="A25" t="s">
        <v>50</v>
      </c>
      <c r="B25" s="5">
        <f>B20*B22-B21*B23</f>
        <v>3.6667287230096628</v>
      </c>
      <c r="C25" s="5">
        <f>C20*C22-C21*C23</f>
        <v>3.5652339829099056</v>
      </c>
      <c r="D25" s="5">
        <f>D20*D22-D21*D23</f>
        <v>3.2605713908487344</v>
      </c>
      <c r="E25" s="5">
        <f>E20*E22-E21*E23</f>
        <v>2.7522576375266103</v>
      </c>
      <c r="F25" s="5">
        <f>F20*F22-F21*F23</f>
        <v>2.0396600796031343</v>
      </c>
      <c r="G25" s="5">
        <f>G20*G22-G21*G23</f>
        <v>1.1222565861978395</v>
      </c>
      <c r="H25" s="5">
        <f>H20*H22-H21*H23</f>
        <v>0</v>
      </c>
      <c r="J25" t="s">
        <v>50</v>
      </c>
      <c r="K25" s="5">
        <f>K20*K22-K21*K23</f>
        <v>0</v>
      </c>
      <c r="L25" s="5">
        <f>L20*L22-L21*L23</f>
        <v>3.4332704270751742</v>
      </c>
      <c r="M25" s="5">
        <f>M20*M22-M21*M23</f>
        <v>6.2245997109422415</v>
      </c>
      <c r="N25" s="5">
        <f>N20*N22-N21*N23</f>
        <v>8.3750684834397457</v>
      </c>
      <c r="O25" s="5">
        <f>O20*O22-O21*O23</f>
        <v>9.8961583701809168</v>
      </c>
      <c r="P25" s="5">
        <f>P20*P22-P21*P23</f>
        <v>10.801712668743402</v>
      </c>
      <c r="Q25" s="5">
        <f>Q20*Q22-Q21*Q23</f>
        <v>11.102270065853453</v>
      </c>
    </row>
    <row r="26" spans="1:17" x14ac:dyDescent="0.3">
      <c r="A26" t="s">
        <v>51</v>
      </c>
      <c r="B26" s="5">
        <f>B21*B22+B20*B23</f>
        <v>-34.807400082049448</v>
      </c>
      <c r="C26" s="5">
        <f>C21*C22+C20*C23</f>
        <v>-34.817942309204668</v>
      </c>
      <c r="D26" s="5">
        <f>D21*D22+D20*D23</f>
        <v>-34.847792960317854</v>
      </c>
      <c r="E26" s="5">
        <f>E21*E22+E20*E23</f>
        <v>-34.891619020857668</v>
      </c>
      <c r="F26" s="5">
        <f>F21*F22+F20*F23</f>
        <v>-34.940517837600424</v>
      </c>
      <c r="G26" s="5">
        <f>G21*G22+G20*G23</f>
        <v>-34.982003089513555</v>
      </c>
      <c r="H26" s="5">
        <f>H21*H22+H20*H23</f>
        <v>-35</v>
      </c>
      <c r="J26" t="s">
        <v>51</v>
      </c>
      <c r="K26" s="5">
        <f>K21*K22+K20*K23</f>
        <v>-40</v>
      </c>
      <c r="L26" s="5">
        <f>L21*L22+L20*L23</f>
        <v>-39.852385802791922</v>
      </c>
      <c r="M26" s="5">
        <f>M21*M22+M20*M23</f>
        <v>-39.512711352658876</v>
      </c>
      <c r="N26" s="5">
        <f>N21*N22+N20*N23</f>
        <v>-39.113402151918393</v>
      </c>
      <c r="O26" s="5">
        <f>O21*O22+O20*O23</f>
        <v>-38.756496868425792</v>
      </c>
      <c r="P26" s="5">
        <f>P21*P22+P20*P23</f>
        <v>-38.513932588375191</v>
      </c>
      <c r="Q26" s="5">
        <f>Q21*Q22+Q20*Q23</f>
        <v>-38.428369720622477</v>
      </c>
    </row>
    <row r="27" spans="1:17" x14ac:dyDescent="0.3">
      <c r="A27" t="s">
        <v>52</v>
      </c>
      <c r="B27" s="5">
        <f>B2+B25</f>
        <v>3.6667287230096628</v>
      </c>
      <c r="C27" s="5">
        <f t="shared" ref="C27:H28" si="18">C2+C25</f>
        <v>28.565233982909906</v>
      </c>
      <c r="D27" s="5">
        <f t="shared" si="18"/>
        <v>53.260571390848732</v>
      </c>
      <c r="E27" s="5">
        <f t="shared" si="18"/>
        <v>77.752257637526611</v>
      </c>
      <c r="F27" s="5">
        <f t="shared" si="18"/>
        <v>102.03966007960314</v>
      </c>
      <c r="G27" s="5">
        <f t="shared" si="18"/>
        <v>126.12225658619784</v>
      </c>
      <c r="H27" s="5">
        <f t="shared" si="18"/>
        <v>150</v>
      </c>
      <c r="J27" t="s">
        <v>52</v>
      </c>
      <c r="K27" s="5">
        <f>K2+K25</f>
        <v>0</v>
      </c>
      <c r="L27" s="5">
        <f t="shared" ref="L27:Q28" si="19">L2+L25</f>
        <v>53.433270427075172</v>
      </c>
      <c r="M27" s="5">
        <f t="shared" si="19"/>
        <v>106.22459971094224</v>
      </c>
      <c r="N27" s="5">
        <f t="shared" si="19"/>
        <v>158.37506848343975</v>
      </c>
      <c r="O27" s="5">
        <f t="shared" si="19"/>
        <v>209.89615837018093</v>
      </c>
      <c r="P27" s="5">
        <f t="shared" si="19"/>
        <v>260.80171266874339</v>
      </c>
      <c r="Q27" s="5">
        <f t="shared" si="19"/>
        <v>311.10227006585347</v>
      </c>
    </row>
    <row r="28" spans="1:17" x14ac:dyDescent="0.3">
      <c r="A28" t="s">
        <v>53</v>
      </c>
      <c r="B28" s="5">
        <f>B3+B26</f>
        <v>-34.807400082049448</v>
      </c>
      <c r="C28" s="5">
        <f t="shared" si="18"/>
        <v>-32.218331036124006</v>
      </c>
      <c r="D28" s="5">
        <f t="shared" si="18"/>
        <v>-29.794343008908719</v>
      </c>
      <c r="E28" s="5">
        <f t="shared" si="18"/>
        <v>-27.675875580624432</v>
      </c>
      <c r="F28" s="5">
        <f t="shared" si="18"/>
        <v>-25.999798692799647</v>
      </c>
      <c r="G28" s="5">
        <f t="shared" si="18"/>
        <v>-24.899398619153981</v>
      </c>
      <c r="H28" s="5">
        <f t="shared" si="18"/>
        <v>-24.504373177842567</v>
      </c>
      <c r="J28" t="s">
        <v>53</v>
      </c>
      <c r="K28" s="5">
        <f>K3+K26</f>
        <v>-40</v>
      </c>
      <c r="L28" s="5">
        <f t="shared" si="19"/>
        <v>-37.638844136125257</v>
      </c>
      <c r="M28" s="5">
        <f t="shared" si="19"/>
        <v>-31.17937801932554</v>
      </c>
      <c r="N28" s="5">
        <f t="shared" si="19"/>
        <v>-21.535277151918393</v>
      </c>
      <c r="O28" s="5">
        <f t="shared" si="19"/>
        <v>-9.5898302017591277</v>
      </c>
      <c r="P28" s="5">
        <f t="shared" si="19"/>
        <v>3.8037757449581378</v>
      </c>
      <c r="Q28" s="5">
        <f t="shared" si="19"/>
        <v>17.821630279377523</v>
      </c>
    </row>
    <row r="31" spans="1:17" x14ac:dyDescent="0.3">
      <c r="G31" s="5">
        <v>67.5</v>
      </c>
    </row>
    <row r="32" spans="1:17" x14ac:dyDescent="0.3">
      <c r="A32">
        <v>10</v>
      </c>
      <c r="B32" s="5">
        <v>16.63</v>
      </c>
      <c r="G32" s="5">
        <f>(G$31/$B$10*2)*($B$9*$B$10/4)/$B$8*B32</f>
        <v>52.36268221574344</v>
      </c>
      <c r="H32" s="5">
        <f>G32*$B$6*1.75*B32</f>
        <v>45716.5487755102</v>
      </c>
    </row>
    <row r="33" spans="1:9" x14ac:dyDescent="0.3">
      <c r="A33">
        <v>9</v>
      </c>
      <c r="B33" s="5">
        <v>14.88</v>
      </c>
      <c r="G33" s="5">
        <f t="shared" ref="G33:G52" si="20">(G$31/$B$10*2)*($B$9*$B$10/4)/$B$8*B33</f>
        <v>46.85247813411079</v>
      </c>
      <c r="H33" s="5">
        <f t="shared" ref="H33:H51" si="21">G33*$B$6*1.75*B33</f>
        <v>36601.155918367353</v>
      </c>
    </row>
    <row r="34" spans="1:9" x14ac:dyDescent="0.3">
      <c r="A34">
        <v>8</v>
      </c>
      <c r="B34" s="5">
        <v>13.13</v>
      </c>
      <c r="G34" s="5">
        <f t="shared" si="20"/>
        <v>41.342274052478139</v>
      </c>
      <c r="H34" s="5">
        <f t="shared" si="21"/>
        <v>28498.263061224494</v>
      </c>
    </row>
    <row r="35" spans="1:9" x14ac:dyDescent="0.3">
      <c r="A35">
        <v>7</v>
      </c>
      <c r="B35" s="5">
        <v>11.38</v>
      </c>
      <c r="G35" s="5">
        <f t="shared" si="20"/>
        <v>35.832069970845488</v>
      </c>
      <c r="H35" s="5">
        <f t="shared" si="21"/>
        <v>21407.870204081635</v>
      </c>
    </row>
    <row r="36" spans="1:9" x14ac:dyDescent="0.3">
      <c r="A36">
        <v>6</v>
      </c>
      <c r="B36" s="5">
        <v>9.6300000000000008</v>
      </c>
      <c r="G36" s="5">
        <f t="shared" si="20"/>
        <v>30.32186588921283</v>
      </c>
      <c r="H36" s="5">
        <f t="shared" si="21"/>
        <v>15329.977346938776</v>
      </c>
      <c r="I36" s="8"/>
    </row>
    <row r="37" spans="1:9" x14ac:dyDescent="0.3">
      <c r="A37">
        <v>5</v>
      </c>
      <c r="B37" s="5">
        <v>7.88</v>
      </c>
      <c r="G37" s="5">
        <f t="shared" si="20"/>
        <v>24.811661807580176</v>
      </c>
      <c r="H37" s="5">
        <f t="shared" si="21"/>
        <v>10264.58448979592</v>
      </c>
    </row>
    <row r="38" spans="1:9" x14ac:dyDescent="0.3">
      <c r="A38">
        <v>4</v>
      </c>
      <c r="B38" s="5">
        <v>6.13</v>
      </c>
      <c r="G38" s="5">
        <f t="shared" si="20"/>
        <v>19.301457725947522</v>
      </c>
      <c r="H38" s="5">
        <f t="shared" si="21"/>
        <v>6211.6916326530618</v>
      </c>
    </row>
    <row r="39" spans="1:9" x14ac:dyDescent="0.3">
      <c r="A39">
        <v>3</v>
      </c>
      <c r="B39" s="5">
        <v>4.38</v>
      </c>
      <c r="G39" s="5">
        <f t="shared" si="20"/>
        <v>13.791253644314869</v>
      </c>
      <c r="H39" s="5">
        <f t="shared" si="21"/>
        <v>3171.298775510204</v>
      </c>
    </row>
    <row r="40" spans="1:9" x14ac:dyDescent="0.3">
      <c r="A40">
        <v>2</v>
      </c>
      <c r="B40" s="5">
        <v>2.63</v>
      </c>
      <c r="G40" s="5">
        <f t="shared" si="20"/>
        <v>8.2810495626822149</v>
      </c>
      <c r="H40" s="5">
        <f t="shared" si="21"/>
        <v>1143.4059183673467</v>
      </c>
    </row>
    <row r="41" spans="1:9" x14ac:dyDescent="0.3">
      <c r="A41">
        <v>1</v>
      </c>
      <c r="B41" s="5">
        <v>0.88</v>
      </c>
      <c r="G41" s="5">
        <f t="shared" si="20"/>
        <v>2.7708454810495629</v>
      </c>
      <c r="H41" s="5">
        <f t="shared" si="21"/>
        <v>128.0130612244898</v>
      </c>
    </row>
    <row r="42" spans="1:9" x14ac:dyDescent="0.3">
      <c r="B42" s="5">
        <f>-B41</f>
        <v>-0.88</v>
      </c>
      <c r="G42" s="5">
        <f t="shared" si="20"/>
        <v>-2.7708454810495629</v>
      </c>
      <c r="H42" s="5">
        <f t="shared" si="21"/>
        <v>128.0130612244898</v>
      </c>
    </row>
    <row r="43" spans="1:9" x14ac:dyDescent="0.3">
      <c r="B43" s="5">
        <f>-B40</f>
        <v>-2.63</v>
      </c>
      <c r="G43" s="5">
        <f t="shared" si="20"/>
        <v>-8.2810495626822149</v>
      </c>
      <c r="H43" s="5">
        <f t="shared" si="21"/>
        <v>1143.4059183673467</v>
      </c>
    </row>
    <row r="44" spans="1:9" x14ac:dyDescent="0.3">
      <c r="B44" s="5">
        <f>-B39</f>
        <v>-4.38</v>
      </c>
      <c r="G44" s="5">
        <f t="shared" si="20"/>
        <v>-13.791253644314869</v>
      </c>
      <c r="H44" s="5">
        <f t="shared" si="21"/>
        <v>3171.298775510204</v>
      </c>
    </row>
    <row r="45" spans="1:9" x14ac:dyDescent="0.3">
      <c r="B45" s="5">
        <f>-B38</f>
        <v>-6.13</v>
      </c>
      <c r="G45" s="5">
        <f t="shared" si="20"/>
        <v>-19.301457725947522</v>
      </c>
      <c r="H45" s="5">
        <f t="shared" si="21"/>
        <v>6211.6916326530618</v>
      </c>
    </row>
    <row r="46" spans="1:9" x14ac:dyDescent="0.3">
      <c r="B46" s="5">
        <f>-B37</f>
        <v>-7.88</v>
      </c>
      <c r="G46" s="5">
        <f t="shared" si="20"/>
        <v>-24.811661807580176</v>
      </c>
      <c r="H46" s="5">
        <f t="shared" si="21"/>
        <v>10264.58448979592</v>
      </c>
    </row>
    <row r="47" spans="1:9" x14ac:dyDescent="0.3">
      <c r="B47" s="5">
        <f>-B36</f>
        <v>-9.6300000000000008</v>
      </c>
      <c r="G47" s="5">
        <f t="shared" si="20"/>
        <v>-30.32186588921283</v>
      </c>
      <c r="H47" s="5">
        <f t="shared" si="21"/>
        <v>15329.977346938776</v>
      </c>
    </row>
    <row r="48" spans="1:9" x14ac:dyDescent="0.3">
      <c r="B48" s="5">
        <f>-B35</f>
        <v>-11.38</v>
      </c>
      <c r="G48" s="5">
        <f t="shared" si="20"/>
        <v>-35.832069970845488</v>
      </c>
      <c r="H48" s="5">
        <f t="shared" si="21"/>
        <v>21407.870204081635</v>
      </c>
    </row>
    <row r="49" spans="2:8" x14ac:dyDescent="0.3">
      <c r="B49" s="5">
        <f>-B34</f>
        <v>-13.13</v>
      </c>
      <c r="G49" s="5">
        <f t="shared" si="20"/>
        <v>-41.342274052478139</v>
      </c>
      <c r="H49" s="5">
        <f t="shared" si="21"/>
        <v>28498.263061224494</v>
      </c>
    </row>
    <row r="50" spans="2:8" x14ac:dyDescent="0.3">
      <c r="B50" s="5">
        <f>-B33</f>
        <v>-14.88</v>
      </c>
      <c r="G50" s="5">
        <f t="shared" si="20"/>
        <v>-46.85247813411079</v>
      </c>
      <c r="H50" s="5">
        <f t="shared" si="21"/>
        <v>36601.155918367353</v>
      </c>
    </row>
    <row r="51" spans="2:8" x14ac:dyDescent="0.3">
      <c r="B51" s="5">
        <f>-B32</f>
        <v>-16.63</v>
      </c>
      <c r="G51" s="5">
        <f t="shared" si="20"/>
        <v>-52.36268221574344</v>
      </c>
      <c r="H51" s="5">
        <f t="shared" si="21"/>
        <v>45716.5487755102</v>
      </c>
    </row>
    <row r="52" spans="2:8" x14ac:dyDescent="0.3">
      <c r="F52" s="5">
        <f>67.5/150</f>
        <v>0.45</v>
      </c>
      <c r="G52" s="5">
        <f>(G$31/$B$10*2)*($B$9*$B$10/4)</f>
        <v>337500</v>
      </c>
      <c r="H52" s="5">
        <f>SUM(H32:H51)</f>
        <v>336945.61836734699</v>
      </c>
    </row>
  </sheetData>
  <mergeCells count="2"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bending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ironbell</cp:lastModifiedBy>
  <dcterms:created xsi:type="dcterms:W3CDTF">2020-03-18T13:14:15Z</dcterms:created>
  <dcterms:modified xsi:type="dcterms:W3CDTF">2020-05-01T04:41:31Z</dcterms:modified>
</cp:coreProperties>
</file>