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bookViews>
    <workbookView xWindow="0" yWindow="0" windowWidth="2157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8" i="1" l="1"/>
  <c r="L98" i="1" s="1"/>
  <c r="F98" i="1"/>
  <c r="E98" i="1"/>
  <c r="D98" i="1"/>
  <c r="K98" i="1" s="1"/>
  <c r="C98" i="1"/>
  <c r="I97" i="1"/>
  <c r="L97" i="1" s="1"/>
  <c r="F97" i="1"/>
  <c r="E97" i="1"/>
  <c r="D97" i="1"/>
  <c r="K97" i="1" s="1"/>
  <c r="C97" i="1"/>
  <c r="L96" i="1"/>
  <c r="I96" i="1"/>
  <c r="F96" i="1"/>
  <c r="E96" i="1"/>
  <c r="D96" i="1"/>
  <c r="K96" i="1" s="1"/>
  <c r="C96" i="1"/>
  <c r="L95" i="1"/>
  <c r="I95" i="1"/>
  <c r="F95" i="1"/>
  <c r="E95" i="1"/>
  <c r="D95" i="1"/>
  <c r="K95" i="1" s="1"/>
  <c r="C95" i="1"/>
  <c r="I94" i="1"/>
  <c r="L94" i="1" s="1"/>
  <c r="F94" i="1"/>
  <c r="E94" i="1"/>
  <c r="D94" i="1"/>
  <c r="K94" i="1" s="1"/>
  <c r="C94" i="1"/>
  <c r="I93" i="1"/>
  <c r="L93" i="1" s="1"/>
  <c r="F93" i="1"/>
  <c r="E93" i="1"/>
  <c r="D93" i="1"/>
  <c r="K93" i="1" s="1"/>
  <c r="C93" i="1"/>
  <c r="L92" i="1"/>
  <c r="K92" i="1"/>
  <c r="N92" i="1" s="1"/>
  <c r="I92" i="1"/>
  <c r="G92" i="1"/>
  <c r="I91" i="1"/>
  <c r="L91" i="1" s="1"/>
  <c r="F91" i="1"/>
  <c r="E91" i="1"/>
  <c r="D91" i="1"/>
  <c r="K91" i="1" s="1"/>
  <c r="C91" i="1"/>
  <c r="I90" i="1"/>
  <c r="L90" i="1" s="1"/>
  <c r="F90" i="1"/>
  <c r="E90" i="1"/>
  <c r="D90" i="1"/>
  <c r="K90" i="1" s="1"/>
  <c r="C90" i="1"/>
  <c r="M90" i="1" l="1"/>
  <c r="N90" i="1"/>
  <c r="N91" i="1"/>
  <c r="M91" i="1"/>
  <c r="M98" i="1"/>
  <c r="N98" i="1"/>
  <c r="M93" i="1"/>
  <c r="N93" i="1"/>
  <c r="N96" i="1"/>
  <c r="M96" i="1"/>
  <c r="N94" i="1"/>
  <c r="M94" i="1"/>
  <c r="N95" i="1"/>
  <c r="M95" i="1"/>
  <c r="M97" i="1"/>
  <c r="N97" i="1"/>
  <c r="M92" i="1"/>
  <c r="K4" i="1"/>
  <c r="J4" i="1"/>
  <c r="M4" i="1" s="1"/>
  <c r="M2" i="1"/>
  <c r="M3" i="1"/>
  <c r="F3" i="1"/>
  <c r="G3" i="1"/>
  <c r="H3" i="1"/>
  <c r="J3" i="1" s="1"/>
  <c r="I3" i="1"/>
  <c r="K3" i="1" s="1"/>
  <c r="O2" i="1"/>
  <c r="N2" i="1"/>
  <c r="L2" i="1"/>
  <c r="K2" i="1"/>
  <c r="J2" i="1"/>
  <c r="I2" i="1"/>
  <c r="H2" i="1"/>
  <c r="G2" i="1"/>
  <c r="F2" i="1"/>
  <c r="L4" i="1" l="1"/>
  <c r="L3" i="1"/>
  <c r="J64" i="1"/>
  <c r="B26" i="1"/>
  <c r="H24" i="1"/>
  <c r="F24" i="1"/>
  <c r="E24" i="1"/>
  <c r="D24" i="1"/>
  <c r="H23" i="1"/>
  <c r="L23" i="1"/>
  <c r="O23" i="1" s="1"/>
  <c r="F23" i="1"/>
  <c r="E23" i="1"/>
  <c r="D23" i="1"/>
  <c r="K23" i="1" s="1"/>
  <c r="K22" i="1"/>
  <c r="F22" i="1"/>
  <c r="E22" i="1"/>
  <c r="D22" i="1"/>
  <c r="N22" i="1" s="1"/>
  <c r="M23" i="1" l="1"/>
  <c r="K25" i="1"/>
  <c r="J23" i="1"/>
  <c r="I23" i="1"/>
  <c r="N24" i="1"/>
  <c r="L24" i="1"/>
  <c r="O24" i="1" s="1"/>
  <c r="K24" i="1"/>
  <c r="I24" i="1"/>
  <c r="J24" i="1"/>
  <c r="N23" i="1"/>
  <c r="L22" i="1"/>
  <c r="O22" i="1" s="1"/>
  <c r="I22" i="1"/>
  <c r="J22" i="1"/>
  <c r="J52" i="1"/>
  <c r="M25" i="1" l="1"/>
  <c r="L25" i="1"/>
  <c r="M24" i="1"/>
  <c r="M22" i="1"/>
  <c r="I111" i="1"/>
  <c r="B113" i="1" l="1"/>
  <c r="C113" i="1"/>
  <c r="E113" i="1"/>
  <c r="E112" i="1"/>
  <c r="C112" i="1"/>
  <c r="G111" i="1"/>
  <c r="E111" i="1"/>
  <c r="C111" i="1"/>
  <c r="E110" i="1"/>
  <c r="G110" i="1"/>
  <c r="E109" i="1"/>
  <c r="E108" i="1"/>
  <c r="C108" i="1"/>
  <c r="G108" i="1" s="1"/>
  <c r="G112" i="1" l="1"/>
  <c r="G109" i="1"/>
  <c r="F64" i="1"/>
  <c r="D64" i="1"/>
  <c r="E64" i="1" s="1"/>
  <c r="G64" i="1" s="1"/>
  <c r="H64" i="1"/>
  <c r="J63" i="1"/>
  <c r="J62" i="1"/>
  <c r="F63" i="1"/>
  <c r="F62" i="1"/>
  <c r="H62" i="1"/>
  <c r="D63" i="1"/>
  <c r="E63" i="1" s="1"/>
  <c r="H63" i="1"/>
  <c r="E62" i="1"/>
  <c r="G62" i="1" s="1"/>
  <c r="J61" i="1"/>
  <c r="K61" i="1" s="1"/>
  <c r="J60" i="1"/>
  <c r="J58" i="1"/>
  <c r="J59" i="1"/>
  <c r="K60" i="1"/>
  <c r="H61" i="1"/>
  <c r="H60" i="1"/>
  <c r="H59" i="1"/>
  <c r="H58" i="1"/>
  <c r="H49" i="1"/>
  <c r="J55" i="1"/>
  <c r="J56" i="1"/>
  <c r="J57" i="1"/>
  <c r="J54" i="1"/>
  <c r="H57" i="1"/>
  <c r="E57" i="1"/>
  <c r="G57" i="1" s="1"/>
  <c r="H56" i="1"/>
  <c r="E56" i="1"/>
  <c r="G56" i="1" s="1"/>
  <c r="H55" i="1"/>
  <c r="H54" i="1"/>
  <c r="E54" i="1"/>
  <c r="G54" i="1" s="1"/>
  <c r="D53" i="1"/>
  <c r="J53" i="1"/>
  <c r="H53" i="1"/>
  <c r="E53" i="1"/>
  <c r="E52" i="1"/>
  <c r="G52" i="1" s="1"/>
  <c r="I52" i="1" s="1"/>
  <c r="H52" i="1"/>
  <c r="E83" i="1"/>
  <c r="F83" i="1" s="1"/>
  <c r="K83" i="1" s="1"/>
  <c r="L83" i="1" s="1"/>
  <c r="H83" i="1"/>
  <c r="I83" i="1" s="1"/>
  <c r="G83" i="1"/>
  <c r="E82" i="1"/>
  <c r="F82" i="1" s="1"/>
  <c r="K82" i="1" s="1"/>
  <c r="L82" i="1" s="1"/>
  <c r="H82" i="1"/>
  <c r="I82" i="1"/>
  <c r="G82" i="1"/>
  <c r="J82" i="1" s="1"/>
  <c r="E81" i="1"/>
  <c r="F81" i="1"/>
  <c r="K81" i="1" s="1"/>
  <c r="L81" i="1" s="1"/>
  <c r="H81" i="1"/>
  <c r="J81" i="1" s="1"/>
  <c r="G81" i="1"/>
  <c r="I81" i="1" s="1"/>
  <c r="E80" i="1"/>
  <c r="F80" i="1" s="1"/>
  <c r="K80" i="1" s="1"/>
  <c r="L80" i="1" s="1"/>
  <c r="H80" i="1"/>
  <c r="J80" i="1" s="1"/>
  <c r="G80" i="1"/>
  <c r="H79" i="1"/>
  <c r="G79" i="1"/>
  <c r="J79" i="1" s="1"/>
  <c r="E79" i="1"/>
  <c r="F79" i="1" s="1"/>
  <c r="K79" i="1" s="1"/>
  <c r="L79" i="1" s="1"/>
  <c r="M79" i="1" s="1"/>
  <c r="K58" i="1" l="1"/>
  <c r="G53" i="1"/>
  <c r="I53" i="1" s="1"/>
  <c r="K53" i="1"/>
  <c r="K59" i="1"/>
  <c r="K64" i="1"/>
  <c r="B84" i="1" s="1"/>
  <c r="I64" i="1"/>
  <c r="D84" i="1" s="1"/>
  <c r="I62" i="1"/>
  <c r="K62" i="1"/>
  <c r="G63" i="1"/>
  <c r="I63" i="1" s="1"/>
  <c r="K63" i="1"/>
  <c r="I57" i="1"/>
  <c r="K56" i="1"/>
  <c r="K57" i="1"/>
  <c r="I56" i="1"/>
  <c r="I54" i="1"/>
  <c r="K54" i="1"/>
  <c r="E55" i="1"/>
  <c r="G55" i="1" s="1"/>
  <c r="I55" i="1" s="1"/>
  <c r="K52" i="1"/>
  <c r="J83" i="1"/>
  <c r="I80" i="1"/>
  <c r="I79" i="1"/>
  <c r="K104" i="1"/>
  <c r="L104" i="1" s="1"/>
  <c r="I104" i="1"/>
  <c r="G104" i="1"/>
  <c r="H104" i="1" s="1"/>
  <c r="J104" i="1" s="1"/>
  <c r="M104" i="1" s="1"/>
  <c r="F104" i="1"/>
  <c r="H51" i="1"/>
  <c r="H50" i="1"/>
  <c r="G51" i="1"/>
  <c r="I51" i="1" s="1"/>
  <c r="G50" i="1"/>
  <c r="I50" i="1" s="1"/>
  <c r="E49" i="1"/>
  <c r="G49" i="1" s="1"/>
  <c r="C36" i="1"/>
  <c r="H84" i="1" l="1"/>
  <c r="G84" i="1"/>
  <c r="E84" i="1"/>
  <c r="F84" i="1" s="1"/>
  <c r="K84" i="1" s="1"/>
  <c r="L84" i="1" s="1"/>
  <c r="K55" i="1"/>
  <c r="I49" i="1"/>
  <c r="D48" i="1"/>
  <c r="E48" i="1" s="1"/>
  <c r="G48" i="1" s="1"/>
  <c r="F48" i="1"/>
  <c r="H48" i="1"/>
  <c r="J47" i="1"/>
  <c r="H47" i="1"/>
  <c r="E47" i="1"/>
  <c r="H46" i="1"/>
  <c r="E46" i="1"/>
  <c r="G46" i="1" s="1"/>
  <c r="J45" i="1"/>
  <c r="H44" i="1"/>
  <c r="H45" i="1"/>
  <c r="E45" i="1"/>
  <c r="E44" i="1"/>
  <c r="G44" i="1" s="1"/>
  <c r="I21" i="1"/>
  <c r="F21" i="1"/>
  <c r="E21" i="1"/>
  <c r="D21" i="1"/>
  <c r="N21" i="1" s="1"/>
  <c r="J41" i="1"/>
  <c r="J42" i="1"/>
  <c r="J40" i="1"/>
  <c r="F42" i="1"/>
  <c r="C42" i="1"/>
  <c r="B42" i="1"/>
  <c r="D43" i="1"/>
  <c r="E43" i="1" s="1"/>
  <c r="G43" i="1" s="1"/>
  <c r="F43" i="1"/>
  <c r="H43" i="1"/>
  <c r="J84" i="1" l="1"/>
  <c r="I84" i="1"/>
  <c r="I46" i="1"/>
  <c r="I44" i="1"/>
  <c r="I48" i="1"/>
  <c r="D78" i="1" s="1"/>
  <c r="K48" i="1"/>
  <c r="B78" i="1" s="1"/>
  <c r="K47" i="1"/>
  <c r="K45" i="1"/>
  <c r="K21" i="1"/>
  <c r="L21" i="1"/>
  <c r="O21" i="1" s="1"/>
  <c r="J21" i="1"/>
  <c r="E42" i="1"/>
  <c r="H42" i="1"/>
  <c r="K42" i="1" s="1"/>
  <c r="I43" i="1"/>
  <c r="E77" i="1"/>
  <c r="F77" i="1" s="1"/>
  <c r="K77" i="1" s="1"/>
  <c r="L77" i="1" s="1"/>
  <c r="H77" i="1"/>
  <c r="G77" i="1"/>
  <c r="H76" i="1"/>
  <c r="G76" i="1"/>
  <c r="E76" i="1"/>
  <c r="F76" i="1" s="1"/>
  <c r="K76" i="1" s="1"/>
  <c r="L76" i="1" s="1"/>
  <c r="G78" i="1" l="1"/>
  <c r="H78" i="1"/>
  <c r="E78" i="1"/>
  <c r="F78" i="1" s="1"/>
  <c r="K78" i="1" s="1"/>
  <c r="L78" i="1" s="1"/>
  <c r="M78" i="1" s="1"/>
  <c r="I77" i="1"/>
  <c r="M21" i="1"/>
  <c r="G42" i="1"/>
  <c r="I42" i="1" s="1"/>
  <c r="J77" i="1"/>
  <c r="J76" i="1"/>
  <c r="I76" i="1"/>
  <c r="H75" i="1"/>
  <c r="G75" i="1"/>
  <c r="E75" i="1"/>
  <c r="F75" i="1" s="1"/>
  <c r="K75" i="1" s="1"/>
  <c r="L75" i="1" s="1"/>
  <c r="H74" i="1"/>
  <c r="J74" i="1" s="1"/>
  <c r="G74" i="1"/>
  <c r="E74" i="1"/>
  <c r="F74" i="1" s="1"/>
  <c r="K74" i="1" s="1"/>
  <c r="L74" i="1" s="1"/>
  <c r="H73" i="1"/>
  <c r="G73" i="1"/>
  <c r="E73" i="1"/>
  <c r="F73" i="1" s="1"/>
  <c r="K73" i="1" s="1"/>
  <c r="L73" i="1" s="1"/>
  <c r="H72" i="1"/>
  <c r="G72" i="1"/>
  <c r="I72" i="1" s="1"/>
  <c r="E72" i="1"/>
  <c r="F72" i="1" s="1"/>
  <c r="K72" i="1" s="1"/>
  <c r="L72" i="1" s="1"/>
  <c r="J78" i="1" l="1"/>
  <c r="I78" i="1"/>
  <c r="I74" i="1"/>
  <c r="J73" i="1"/>
  <c r="J72" i="1"/>
  <c r="I73" i="1"/>
  <c r="J75" i="1"/>
  <c r="I75" i="1"/>
  <c r="B40" i="1"/>
  <c r="C40" i="1"/>
  <c r="D40" i="1"/>
  <c r="F40" i="1"/>
  <c r="C41" i="1"/>
  <c r="D41" i="1" s="1"/>
  <c r="B41" i="1"/>
  <c r="F41" i="1"/>
  <c r="G20" i="1"/>
  <c r="E20" i="1"/>
  <c r="F19" i="1"/>
  <c r="E19" i="1"/>
  <c r="D19" i="1"/>
  <c r="N19" i="1" s="1"/>
  <c r="E40" i="1" l="1"/>
  <c r="J19" i="1"/>
  <c r="K19" i="1"/>
  <c r="L19" i="1"/>
  <c r="O19" i="1" s="1"/>
  <c r="I19" i="1"/>
  <c r="E41" i="1"/>
  <c r="G41" i="1" s="1"/>
  <c r="G40" i="1"/>
  <c r="H41" i="1"/>
  <c r="H40" i="1"/>
  <c r="K40" i="1" s="1"/>
  <c r="F18" i="1"/>
  <c r="E18" i="1"/>
  <c r="D18" i="1"/>
  <c r="N18" i="1" s="1"/>
  <c r="D34" i="1" s="1"/>
  <c r="H33" i="1"/>
  <c r="G33" i="1"/>
  <c r="E33" i="1"/>
  <c r="F33" i="1" s="1"/>
  <c r="E31" i="1"/>
  <c r="F31" i="1" s="1"/>
  <c r="E32" i="1"/>
  <c r="F32" i="1" s="1"/>
  <c r="H32" i="1"/>
  <c r="G32" i="1"/>
  <c r="H31" i="1"/>
  <c r="G31" i="1"/>
  <c r="K11" i="1"/>
  <c r="L11" i="1"/>
  <c r="N11" i="1"/>
  <c r="F16" i="1"/>
  <c r="E16" i="1"/>
  <c r="F15" i="1"/>
  <c r="E15" i="1"/>
  <c r="D16" i="1"/>
  <c r="D15" i="1"/>
  <c r="D17" i="1" s="1"/>
  <c r="F13" i="1"/>
  <c r="E13" i="1"/>
  <c r="D13" i="1"/>
  <c r="N13" i="1" s="1"/>
  <c r="F12" i="1"/>
  <c r="E12" i="1"/>
  <c r="D12" i="1"/>
  <c r="K12" i="1" s="1"/>
  <c r="F10" i="1"/>
  <c r="E10" i="1"/>
  <c r="D10" i="1"/>
  <c r="K10" i="1" s="1"/>
  <c r="F9" i="1"/>
  <c r="E9" i="1"/>
  <c r="D9" i="1"/>
  <c r="K9" i="1" s="1"/>
  <c r="P9" i="1" s="1"/>
  <c r="F8" i="1"/>
  <c r="E8" i="1"/>
  <c r="D8" i="1"/>
  <c r="K8" i="1" s="1"/>
  <c r="F7" i="1"/>
  <c r="E7" i="1"/>
  <c r="D7" i="1"/>
  <c r="N7" i="1" s="1"/>
  <c r="K41" i="1" l="1"/>
  <c r="J31" i="1"/>
  <c r="K18" i="1"/>
  <c r="P18" i="1" s="1"/>
  <c r="M19" i="1"/>
  <c r="I12" i="1"/>
  <c r="N10" i="1"/>
  <c r="N8" i="1"/>
  <c r="B34" i="1"/>
  <c r="L8" i="1"/>
  <c r="O8" i="1" s="1"/>
  <c r="M11" i="1"/>
  <c r="I41" i="1"/>
  <c r="I40" i="1"/>
  <c r="P10" i="1"/>
  <c r="L13" i="1"/>
  <c r="O13" i="1" s="1"/>
  <c r="K13" i="1"/>
  <c r="N12" i="1"/>
  <c r="L10" i="1"/>
  <c r="O10" i="1" s="1"/>
  <c r="I31" i="1"/>
  <c r="I33" i="1"/>
  <c r="I13" i="1"/>
  <c r="L12" i="1"/>
  <c r="O12" i="1" s="1"/>
  <c r="J12" i="1"/>
  <c r="K7" i="1"/>
  <c r="P7" i="1" s="1"/>
  <c r="N9" i="1"/>
  <c r="J13" i="1"/>
  <c r="L7" i="1"/>
  <c r="O7" i="1" s="1"/>
  <c r="L9" i="1"/>
  <c r="O9" i="1" s="1"/>
  <c r="D14" i="1"/>
  <c r="I18" i="1"/>
  <c r="J18" i="1"/>
  <c r="L18" i="1"/>
  <c r="J33" i="1"/>
  <c r="J32" i="1"/>
  <c r="I32" i="1"/>
  <c r="P12" i="1"/>
  <c r="P8" i="1"/>
  <c r="J10" i="1"/>
  <c r="I10" i="1"/>
  <c r="J7" i="1"/>
  <c r="J9" i="1"/>
  <c r="I7" i="1"/>
  <c r="I9" i="1"/>
  <c r="J8" i="1"/>
  <c r="I8" i="1"/>
  <c r="M8" i="1" l="1"/>
  <c r="O18" i="1"/>
  <c r="C34" i="1"/>
  <c r="E34" i="1" s="1"/>
  <c r="F34" i="1" s="1"/>
  <c r="M9" i="1"/>
  <c r="M12" i="1"/>
  <c r="P13" i="1"/>
  <c r="M13" i="1"/>
  <c r="E14" i="1"/>
  <c r="M10" i="1"/>
  <c r="F14" i="1"/>
  <c r="M7" i="1"/>
  <c r="M18" i="1"/>
  <c r="G34" i="1" l="1"/>
  <c r="H34" i="1"/>
  <c r="J34" i="1" s="1"/>
  <c r="H16" i="1"/>
  <c r="K16" i="1" s="1"/>
  <c r="H15" i="1"/>
  <c r="K15" i="1" s="1"/>
  <c r="G16" i="1"/>
  <c r="G15" i="1"/>
  <c r="L15" i="1" s="1"/>
  <c r="I34" i="1" l="1"/>
  <c r="P16" i="1"/>
  <c r="N15" i="1"/>
  <c r="L16" i="1"/>
  <c r="O16" i="1" s="1"/>
  <c r="N16" i="1"/>
  <c r="P15" i="1"/>
  <c r="K17" i="1"/>
  <c r="N17" i="1" l="1"/>
  <c r="O15" i="1"/>
  <c r="L17" i="1"/>
  <c r="O17" i="1" s="1"/>
  <c r="P17" i="1"/>
  <c r="M17" i="1" l="1"/>
</calcChain>
</file>

<file path=xl/sharedStrings.xml><?xml version="1.0" encoding="utf-8"?>
<sst xmlns="http://schemas.openxmlformats.org/spreadsheetml/2006/main" count="97" uniqueCount="89">
  <si>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</si>
  <si>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</si>
  <si>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</si>
  <si>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</si>
  <si>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</si>
  <si>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</si>
  <si>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</si>
  <si>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</si>
  <si>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</si>
  <si>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</si>
  <si>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</si>
  <si>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</si>
  <si>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</si>
  <si>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</si>
  <si>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</si>
  <si>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</si>
  <si>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</si>
  <si>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</si>
  <si>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</si>
  <si>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</si>
  <si>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</si>
  <si>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</si>
  <si>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</si>
  <si>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</si>
  <si>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</si>
  <si>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</si>
  <si>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</si>
  <si>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</si>
  <si>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</si>
  <si>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</si>
  <si>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</si>
  <si>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</si>
  <si>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</si>
  <si>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</si>
  <si>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</si>
  <si>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</si>
  <si>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</si>
  <si>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</si>
  <si>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</si>
  <si>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</si>
  <si>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</si>
  <si>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</si>
  <si>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</si>
  <si>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</si>
  <si>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</si>
  <si>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</si>
  <si>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</si>
  <si>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</si>
  <si>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</si>
  <si>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</si>
  <si>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</si>
  <si>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</si>
  <si>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</si>
  <si>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</si>
  <si>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</si>
  <si>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</si>
  <si>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</si>
  <si>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</si>
  <si>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</si>
  <si>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</si>
  <si>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</si>
  <si>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</si>
  <si>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</si>
  <si>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</si>
  <si>
    <t>F1x</t>
    <phoneticPr fontId="2" type="noConversion"/>
  </si>
  <si>
    <t>F1y</t>
    <phoneticPr fontId="2" type="noConversion"/>
  </si>
  <si>
    <t>F2x</t>
    <phoneticPr fontId="2" type="noConversion"/>
  </si>
  <si>
    <t>F2y</t>
    <phoneticPr fontId="2" type="noConversion"/>
  </si>
  <si>
    <t>F1_mag</t>
    <phoneticPr fontId="2" type="noConversion"/>
  </si>
  <si>
    <t>F2_mag</t>
    <phoneticPr fontId="2" type="noConversion"/>
  </si>
  <si>
    <t>Rx</t>
    <phoneticPr fontId="2" type="noConversion"/>
  </si>
  <si>
    <t>Ry</t>
    <phoneticPr fontId="2" type="noConversion"/>
  </si>
  <si>
    <t>R</t>
    <phoneticPr fontId="2" type="noConversion"/>
  </si>
  <si>
    <t>theta (degree)</t>
    <phoneticPr fontId="2" type="noConversion"/>
  </si>
  <si>
    <t>F1_ang (degree)</t>
    <phoneticPr fontId="2" type="noConversion"/>
  </si>
  <si>
    <t>F2_ang (degree)</t>
    <phoneticPr fontId="2" type="noConversion"/>
  </si>
  <si>
    <t>x</t>
    <phoneticPr fontId="2" type="noConversion"/>
  </si>
  <si>
    <t>y</t>
    <phoneticPr fontId="2" type="noConversion"/>
  </si>
  <si>
    <t>b</t>
    <phoneticPr fontId="2" type="noConversion"/>
  </si>
  <si>
    <t>h</t>
    <phoneticPr fontId="2" type="noConversion"/>
  </si>
  <si>
    <t>e_cr</t>
    <phoneticPr fontId="2" type="noConversion"/>
  </si>
  <si>
    <t>e</t>
    <phoneticPr fontId="2" type="noConversion"/>
  </si>
  <si>
    <t>sigma_a</t>
    <phoneticPr fontId="2" type="noConversion"/>
  </si>
  <si>
    <t>sigma_b</t>
    <phoneticPr fontId="2" type="noConversion"/>
  </si>
  <si>
    <t>sigma_t</t>
    <phoneticPr fontId="2" type="noConversion"/>
  </si>
  <si>
    <t>sigma_c</t>
    <phoneticPr fontId="2" type="noConversion"/>
  </si>
  <si>
    <t>I_y</t>
    <phoneticPr fontId="2" type="noConversion"/>
  </si>
  <si>
    <t>S_y</t>
    <phoneticPr fontId="2" type="noConversion"/>
  </si>
  <si>
    <t>M=Pe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</si>
</sst>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0_ ;[Red]\-0\ "/>
    <numFmt numFmtId="177" formatCode="0.000_ ;[Red]\-0.000\ "/>
    <numFmt numFmtId="178" formatCode="0.0000_ ;[Red]\-0.0000\ "/>
    <numFmt numFmtId="179" formatCode="0.00000_ ;[Red]\-0.00000\ "/>
    <numFmt numFmtId="180" formatCode="0.0000E+00"/>
    <numFmt numFmtId="181" formatCode="_-* #,##0.0000_-;\-* #,##0.0000_-;_-* &quot;-&quot;_-;_-@_-"/>
    <numFmt numFmtId="182" formatCode="_-* #,##0.000_-;\-* #,##0.000_-;_-* &quot;-&quot;_-;_-@_-"/>
    <numFmt numFmtId="183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  <xf numFmtId="182" fontId="0" fillId="0" borderId="0" xfId="1" applyNumberFormat="1" applyFont="1">
      <alignment vertical="center"/>
    </xf>
    <xf numFmtId="183" fontId="0" fillId="0" borderId="0" xfId="1" applyNumberFormat="1" applyFont="1">
      <alignment vertical="center"/>
    </xf>
    <xf numFmtId="183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79" zoomScale="85" zoomScaleNormal="85" workbookViewId="0">
      <selection activeCell="A89" sqref="A89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68</v>
      </c>
      <c r="C1" s="2" t="s">
        <v>74</v>
      </c>
      <c r="D1" s="2" t="s">
        <v>69</v>
      </c>
      <c r="E1" s="2" t="s">
        <v>75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70</v>
      </c>
      <c r="K1" s="2" t="s">
        <v>71</v>
      </c>
      <c r="L1" s="2" t="s">
        <v>72</v>
      </c>
      <c r="M1" s="2" t="s">
        <v>73</v>
      </c>
      <c r="N1" s="4" t="s">
        <v>76</v>
      </c>
      <c r="O1" s="4" t="s">
        <v>77</v>
      </c>
    </row>
    <row r="2" spans="1:16" x14ac:dyDescent="0.3">
      <c r="B2" s="2">
        <v>4</v>
      </c>
      <c r="C2" s="2">
        <v>300</v>
      </c>
      <c r="D2" s="2">
        <v>1</v>
      </c>
      <c r="E2" s="2">
        <v>210</v>
      </c>
      <c r="F2" s="2">
        <f>B2*COS(C2/180*PI())</f>
        <v>2.0000000000000004</v>
      </c>
      <c r="G2" s="2">
        <f>B2*SIN(C2/180*PI())</f>
        <v>-3.4641016151377544</v>
      </c>
      <c r="H2" s="2">
        <f>D2*COS(E2/180*PI())</f>
        <v>-0.8660254037844386</v>
      </c>
      <c r="I2" s="2">
        <f>D2*SIN(E2/180*PI())</f>
        <v>-0.50000000000000011</v>
      </c>
      <c r="J2" s="3">
        <f>SUM(F2,H2)</f>
        <v>1.1339745962155618</v>
      </c>
      <c r="K2" s="3">
        <f>SUM(G2+I2)</f>
        <v>-3.9641016151377544</v>
      </c>
      <c r="L2" s="3">
        <f>SQRT(J2^2+K2^2)</f>
        <v>4.1231056256176606</v>
      </c>
      <c r="M2" s="3">
        <f>IF(J2&gt;0,ATAN(K2/J2)/PI()*180,180+ATAN(K2/J2)/PI()*180)</f>
        <v>-74.036243467926482</v>
      </c>
      <c r="N2" s="4">
        <f>(-G2*2+I2*1)/-K2</f>
        <v>1.6216040491313504</v>
      </c>
      <c r="O2" s="4">
        <f>(F2*1-H2*1)/J2</f>
        <v>2.527415881580847</v>
      </c>
    </row>
    <row r="3" spans="1:16" x14ac:dyDescent="0.3">
      <c r="B3" s="2">
        <v>8</v>
      </c>
      <c r="C3" s="2">
        <v>-45</v>
      </c>
      <c r="D3" s="2">
        <v>4</v>
      </c>
      <c r="E3" s="2">
        <v>110</v>
      </c>
      <c r="F3" s="2">
        <f>B3*COS(C3/180*PI())</f>
        <v>5.6568542494923806</v>
      </c>
      <c r="G3" s="2">
        <f>B3*SIN(C3/180*PI())</f>
        <v>-5.6568542494923797</v>
      </c>
      <c r="H3" s="2">
        <f>D3*COS(E3/180*PI())</f>
        <v>-1.3680805733026749</v>
      </c>
      <c r="I3" s="2">
        <f>D3*SIN(E3/180*PI())</f>
        <v>3.7587704831436337</v>
      </c>
      <c r="J3" s="3">
        <f>SUM(F3,H3)</f>
        <v>4.288773676189706</v>
      </c>
      <c r="K3" s="3">
        <f>SUM(G3+I3)</f>
        <v>-1.898083766348746</v>
      </c>
      <c r="L3" s="3">
        <f>SQRT(J3^2+K3^2)</f>
        <v>4.6900214956495034</v>
      </c>
      <c r="M3" s="3">
        <f>IF(J3&gt;0,ATAN(K3/J3)/PI()*180,180+ATAN(K3/J3)/PI()*180)</f>
        <v>-23.872757364070893</v>
      </c>
    </row>
    <row r="4" spans="1:16" x14ac:dyDescent="0.3">
      <c r="F4" s="2">
        <v>1</v>
      </c>
      <c r="G4" s="2">
        <v>2</v>
      </c>
      <c r="H4" s="2">
        <v>2</v>
      </c>
      <c r="I4" s="2">
        <v>-2</v>
      </c>
      <c r="J4" s="3">
        <f>SUM(F4,H4)</f>
        <v>3</v>
      </c>
      <c r="K4" s="3">
        <f>SUM(G4+I4)</f>
        <v>0</v>
      </c>
      <c r="L4" s="3">
        <f>SQRT(J4^2+K4^2)</f>
        <v>3</v>
      </c>
      <c r="M4" s="3">
        <f>IF(J4&gt;0,ATAN(K4/J4)/PI()*180,180+ATAN(K4/J4)/PI()*180)</f>
        <v>0</v>
      </c>
    </row>
    <row r="6" spans="1:16" x14ac:dyDescent="0.3">
      <c r="B6" s="2" t="s">
        <v>10</v>
      </c>
      <c r="C6" s="2" t="s">
        <v>11</v>
      </c>
      <c r="D6" s="2" t="s">
        <v>9</v>
      </c>
      <c r="E6" s="2" t="s">
        <v>1</v>
      </c>
      <c r="F6" s="2" t="s">
        <v>2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3</v>
      </c>
      <c r="L6" s="2" t="s">
        <v>4</v>
      </c>
      <c r="M6" s="2" t="s">
        <v>6</v>
      </c>
      <c r="N6" s="4" t="s">
        <v>5</v>
      </c>
      <c r="O6" s="4" t="s">
        <v>7</v>
      </c>
      <c r="P6" s="4" t="s">
        <v>8</v>
      </c>
    </row>
    <row r="7" spans="1:16" x14ac:dyDescent="0.3">
      <c r="A7" s="1">
        <v>1</v>
      </c>
      <c r="B7" s="2">
        <v>70</v>
      </c>
      <c r="C7" s="2">
        <v>120</v>
      </c>
      <c r="D7" s="2">
        <f>B7*C7</f>
        <v>8400</v>
      </c>
      <c r="E7" s="2">
        <f t="shared" ref="E7:F10" si="0">B7/2</f>
        <v>35</v>
      </c>
      <c r="F7" s="2">
        <f t="shared" si="0"/>
        <v>60</v>
      </c>
      <c r="G7" s="2">
        <v>0</v>
      </c>
      <c r="H7" s="2">
        <v>0</v>
      </c>
      <c r="I7" s="2">
        <f>D7*G7/D7</f>
        <v>0</v>
      </c>
      <c r="J7" s="2">
        <f>D7*H7/D7</f>
        <v>0</v>
      </c>
      <c r="K7" s="2">
        <f t="shared" ref="K7:K13" si="1">B7*C7^3/12+H7^2*D7</f>
        <v>10080000</v>
      </c>
      <c r="L7" s="2">
        <f t="shared" ref="L7:L13" si="2">C7*B7^3/12+G7^2*D7</f>
        <v>3430000</v>
      </c>
      <c r="M7" s="2">
        <f>SUM(K7:L7)</f>
        <v>13510000</v>
      </c>
      <c r="N7" s="4">
        <f t="shared" ref="N7:N13" si="3">D7*G7*H7</f>
        <v>0</v>
      </c>
      <c r="O7" s="4">
        <f>SQRT(L7/D7)</f>
        <v>20.207259421636902</v>
      </c>
      <c r="P7" s="4">
        <f>SQRT(K7/D7)</f>
        <v>34.641016151377549</v>
      </c>
    </row>
    <row r="8" spans="1:16" x14ac:dyDescent="0.3">
      <c r="A8" s="1">
        <v>2</v>
      </c>
      <c r="B8" s="2">
        <v>40</v>
      </c>
      <c r="C8" s="2">
        <v>70</v>
      </c>
      <c r="D8" s="2">
        <f>B8*C8</f>
        <v>2800</v>
      </c>
      <c r="E8" s="2">
        <f t="shared" si="0"/>
        <v>20</v>
      </c>
      <c r="F8" s="2">
        <f t="shared" si="0"/>
        <v>35</v>
      </c>
      <c r="G8" s="2">
        <v>0</v>
      </c>
      <c r="H8" s="2">
        <v>0</v>
      </c>
      <c r="I8" s="2">
        <f>D8*G8/D8</f>
        <v>0</v>
      </c>
      <c r="J8" s="2">
        <f>D8*H8/D8</f>
        <v>0</v>
      </c>
      <c r="K8" s="2">
        <f t="shared" si="1"/>
        <v>1143333.3333333333</v>
      </c>
      <c r="L8" s="2">
        <f t="shared" si="2"/>
        <v>373333.33333333331</v>
      </c>
      <c r="M8" s="2">
        <f t="shared" ref="M8:M13" si="4">SUM(K8:L8)</f>
        <v>1516666.6666666665</v>
      </c>
      <c r="N8" s="4">
        <f t="shared" si="3"/>
        <v>0</v>
      </c>
      <c r="O8" s="4">
        <f>SQRT(L8/D8)</f>
        <v>11.547005383792515</v>
      </c>
      <c r="P8" s="4">
        <f>SQRT(K8/D8)</f>
        <v>20.207259421636902</v>
      </c>
    </row>
    <row r="9" spans="1:16" x14ac:dyDescent="0.3">
      <c r="A9" s="1">
        <v>3</v>
      </c>
      <c r="B9" s="2">
        <v>40</v>
      </c>
      <c r="C9" s="2">
        <v>16</v>
      </c>
      <c r="D9" s="2">
        <f>B9*C9</f>
        <v>640</v>
      </c>
      <c r="E9" s="2">
        <f t="shared" si="0"/>
        <v>20</v>
      </c>
      <c r="F9" s="2">
        <f t="shared" si="0"/>
        <v>8</v>
      </c>
      <c r="G9" s="2">
        <v>-23</v>
      </c>
      <c r="H9" s="2">
        <v>18</v>
      </c>
      <c r="I9" s="2">
        <f>D9*G9/D9</f>
        <v>-23</v>
      </c>
      <c r="J9" s="2">
        <f>D9*H9/D9</f>
        <v>18</v>
      </c>
      <c r="K9" s="2">
        <f t="shared" si="1"/>
        <v>221013.33333333334</v>
      </c>
      <c r="L9" s="2">
        <f t="shared" si="2"/>
        <v>423893.33333333331</v>
      </c>
      <c r="M9" s="2">
        <f t="shared" si="4"/>
        <v>644906.66666666663</v>
      </c>
      <c r="N9" s="4">
        <f t="shared" si="3"/>
        <v>-264960</v>
      </c>
      <c r="O9" s="4">
        <f>SQRT(L9/D9)</f>
        <v>25.735837529276822</v>
      </c>
      <c r="P9" s="4">
        <f>SQRT(K9/D9)</f>
        <v>18.58314648635514</v>
      </c>
    </row>
    <row r="10" spans="1:16" x14ac:dyDescent="0.3">
      <c r="A10" s="1">
        <v>4</v>
      </c>
      <c r="B10" s="2">
        <v>30</v>
      </c>
      <c r="C10" s="2">
        <v>40</v>
      </c>
      <c r="D10" s="2">
        <f>B10*C10</f>
        <v>1200</v>
      </c>
      <c r="E10" s="2">
        <f t="shared" si="0"/>
        <v>15</v>
      </c>
      <c r="F10" s="2">
        <f t="shared" si="0"/>
        <v>20</v>
      </c>
      <c r="G10" s="2">
        <v>0</v>
      </c>
      <c r="H10" s="2">
        <v>0</v>
      </c>
      <c r="I10" s="2">
        <f>D10*G10/D10</f>
        <v>0</v>
      </c>
      <c r="J10" s="2">
        <f>D10*H10/D10</f>
        <v>0</v>
      </c>
      <c r="K10" s="2">
        <f t="shared" si="1"/>
        <v>160000</v>
      </c>
      <c r="L10" s="2">
        <f t="shared" si="2"/>
        <v>90000</v>
      </c>
      <c r="M10" s="2">
        <f t="shared" si="4"/>
        <v>250000</v>
      </c>
      <c r="N10" s="4">
        <f t="shared" si="3"/>
        <v>0</v>
      </c>
      <c r="O10" s="4">
        <f>SQRT(L10/D10)</f>
        <v>8.6602540378443873</v>
      </c>
      <c r="P10" s="4">
        <f>SQRT(K10/D10)</f>
        <v>11.547005383792516</v>
      </c>
    </row>
    <row r="11" spans="1:16" x14ac:dyDescent="0.3">
      <c r="K11" s="2">
        <f t="shared" si="1"/>
        <v>0</v>
      </c>
      <c r="L11" s="2">
        <f t="shared" si="2"/>
        <v>0</v>
      </c>
      <c r="M11" s="2">
        <f t="shared" si="4"/>
        <v>0</v>
      </c>
      <c r="N11" s="4">
        <f t="shared" si="3"/>
        <v>0</v>
      </c>
    </row>
    <row r="12" spans="1:16" x14ac:dyDescent="0.3">
      <c r="A12" s="1">
        <v>5</v>
      </c>
      <c r="B12" s="2">
        <v>25</v>
      </c>
      <c r="C12" s="2">
        <v>100</v>
      </c>
      <c r="D12" s="2">
        <f>B12*C12</f>
        <v>2500</v>
      </c>
      <c r="E12" s="2">
        <f>B12/2</f>
        <v>12.5</v>
      </c>
      <c r="F12" s="2">
        <f>C12/2</f>
        <v>50</v>
      </c>
      <c r="G12" s="2">
        <v>12.5</v>
      </c>
      <c r="H12" s="2">
        <v>75</v>
      </c>
      <c r="I12" s="2">
        <f>D12*H12</f>
        <v>187500</v>
      </c>
      <c r="J12" s="2">
        <f>D12*G12</f>
        <v>31250</v>
      </c>
      <c r="K12" s="2">
        <f t="shared" si="1"/>
        <v>16145833.333333334</v>
      </c>
      <c r="L12" s="2">
        <f t="shared" si="2"/>
        <v>520833.33333333331</v>
      </c>
      <c r="M12" s="2">
        <f t="shared" si="4"/>
        <v>16666666.666666668</v>
      </c>
      <c r="N12" s="4">
        <f t="shared" si="3"/>
        <v>2343750</v>
      </c>
      <c r="O12" s="4">
        <f>SQRT(L12/D12)</f>
        <v>14.433756729740644</v>
      </c>
      <c r="P12" s="4">
        <f>SQRT(K12/D12)</f>
        <v>80.363756341607967</v>
      </c>
    </row>
    <row r="13" spans="1:16" x14ac:dyDescent="0.3">
      <c r="A13" s="1">
        <v>6</v>
      </c>
      <c r="B13" s="2">
        <v>100</v>
      </c>
      <c r="C13" s="2">
        <v>25</v>
      </c>
      <c r="D13" s="2">
        <f>B13*C13</f>
        <v>2500</v>
      </c>
      <c r="E13" s="2">
        <f>B13/2</f>
        <v>50</v>
      </c>
      <c r="F13" s="2">
        <f>C13/2</f>
        <v>12.5</v>
      </c>
      <c r="G13" s="2">
        <v>50</v>
      </c>
      <c r="H13" s="2">
        <v>12.5</v>
      </c>
      <c r="I13" s="2">
        <f>D13*H13</f>
        <v>31250</v>
      </c>
      <c r="J13" s="2">
        <f>D13*G13</f>
        <v>125000</v>
      </c>
      <c r="K13" s="2">
        <f t="shared" si="1"/>
        <v>520833.33333333331</v>
      </c>
      <c r="L13" s="2">
        <f t="shared" si="2"/>
        <v>8333333.333333333</v>
      </c>
      <c r="M13" s="2">
        <f t="shared" si="4"/>
        <v>8854166.666666666</v>
      </c>
      <c r="N13" s="4">
        <f t="shared" si="3"/>
        <v>1562500</v>
      </c>
      <c r="O13" s="4">
        <f>SQRT(L13/D13)</f>
        <v>57.735026918962575</v>
      </c>
      <c r="P13" s="4">
        <f>SQRT(K13/D13)</f>
        <v>14.433756729740644</v>
      </c>
    </row>
    <row r="14" spans="1:16" x14ac:dyDescent="0.3">
      <c r="A14" s="1" t="s">
        <v>16</v>
      </c>
      <c r="D14" s="2">
        <f>SUM(D12:D13)</f>
        <v>5000</v>
      </c>
      <c r="E14" s="2">
        <f>SUM(J12:J13)/D14</f>
        <v>31.25</v>
      </c>
      <c r="F14" s="2">
        <f>SUM(I12:I13)/D14</f>
        <v>43.75</v>
      </c>
    </row>
    <row r="15" spans="1:16" x14ac:dyDescent="0.3">
      <c r="A15" s="1" t="s">
        <v>17</v>
      </c>
      <c r="B15" s="2">
        <v>25</v>
      </c>
      <c r="C15" s="2">
        <v>100</v>
      </c>
      <c r="D15" s="2">
        <f>B15*C15</f>
        <v>2500</v>
      </c>
      <c r="E15" s="2">
        <f>B15/2</f>
        <v>12.5</v>
      </c>
      <c r="F15" s="2">
        <f>C15/2</f>
        <v>50</v>
      </c>
      <c r="G15" s="2">
        <f>B15/2-E14</f>
        <v>-18.75</v>
      </c>
      <c r="H15" s="2">
        <f>C16+C15/2-F14</f>
        <v>31.25</v>
      </c>
      <c r="K15" s="2">
        <f>B15*C15^3/12+H15^2*D15</f>
        <v>4524739.583333333</v>
      </c>
      <c r="L15" s="2">
        <f>C15*B15^3/12+G15^2*D15</f>
        <v>1009114.5833333334</v>
      </c>
      <c r="N15" s="4">
        <f>D15*G15*H15</f>
        <v>-1464843.75</v>
      </c>
      <c r="O15" s="4">
        <f>SQRT(L15/D15)</f>
        <v>20.090939085401992</v>
      </c>
      <c r="P15" s="4">
        <f>SQRT(K15/D15)</f>
        <v>42.542870534712783</v>
      </c>
    </row>
    <row r="16" spans="1:16" x14ac:dyDescent="0.3">
      <c r="A16" s="1" t="s">
        <v>18</v>
      </c>
      <c r="B16" s="2">
        <v>100</v>
      </c>
      <c r="C16" s="2">
        <v>25</v>
      </c>
      <c r="D16" s="2">
        <f>B16*C16</f>
        <v>2500</v>
      </c>
      <c r="E16" s="2">
        <f>B16/2</f>
        <v>50</v>
      </c>
      <c r="F16" s="2">
        <f>C16/2</f>
        <v>12.5</v>
      </c>
      <c r="G16" s="2">
        <f>B16/2-E14</f>
        <v>18.75</v>
      </c>
      <c r="H16" s="2">
        <f>C16/2-F14</f>
        <v>-31.25</v>
      </c>
      <c r="K16" s="2">
        <f>B16*C16^3/12+H16^2*D16</f>
        <v>2571614.5833333335</v>
      </c>
      <c r="L16" s="2">
        <f>C16*B16^3/12+G16^2*D16</f>
        <v>2962239.583333333</v>
      </c>
      <c r="N16" s="4">
        <f>D16*G16*H16</f>
        <v>-1464843.75</v>
      </c>
      <c r="O16" s="4">
        <f>SQRT(L16/D16)</f>
        <v>34.422315920538139</v>
      </c>
      <c r="P16" s="4">
        <f>SQRT(K16/D16)</f>
        <v>32.072508996543029</v>
      </c>
    </row>
    <row r="17" spans="1:16" x14ac:dyDescent="0.3">
      <c r="A17" s="1" t="s">
        <v>19</v>
      </c>
      <c r="D17" s="2">
        <f>SUM(D15:D16)</f>
        <v>5000</v>
      </c>
      <c r="K17" s="3">
        <f t="shared" ref="K17:N17" si="5">SUM(K15:K16)</f>
        <v>7096354.166666666</v>
      </c>
      <c r="L17" s="3">
        <f t="shared" si="5"/>
        <v>3971354.1666666665</v>
      </c>
      <c r="M17" s="3">
        <f>SUM(K17:L17)</f>
        <v>11067708.333333332</v>
      </c>
      <c r="N17" s="4">
        <f t="shared" si="5"/>
        <v>-2929687.5</v>
      </c>
      <c r="O17" s="4">
        <f>SQRT(L17/D17)</f>
        <v>28.182810955143086</v>
      </c>
      <c r="P17" s="4">
        <f>SQRT(K17/D17)</f>
        <v>37.673211083385674</v>
      </c>
    </row>
    <row r="18" spans="1:16" x14ac:dyDescent="0.3">
      <c r="A18" s="1">
        <v>7</v>
      </c>
      <c r="B18" s="2">
        <v>30</v>
      </c>
      <c r="C18" s="2">
        <v>50</v>
      </c>
      <c r="D18" s="2">
        <f>B18*C18</f>
        <v>1500</v>
      </c>
      <c r="E18" s="2">
        <f>B18/2</f>
        <v>15</v>
      </c>
      <c r="F18" s="2">
        <f>C18/2</f>
        <v>25</v>
      </c>
      <c r="G18" s="2">
        <v>0</v>
      </c>
      <c r="H18" s="2">
        <v>0</v>
      </c>
      <c r="I18" s="2">
        <f>D18*G18/D18</f>
        <v>0</v>
      </c>
      <c r="J18" s="2">
        <f>D18*H18/D18</f>
        <v>0</v>
      </c>
      <c r="K18" s="2">
        <f>B18*C18^3/12+H18^2*D18</f>
        <v>312500</v>
      </c>
      <c r="L18" s="2">
        <f>C18*B18^3/12+G18^2*D18</f>
        <v>112500</v>
      </c>
      <c r="M18" s="2">
        <f t="shared" ref="M18" si="6">SUM(K18:L18)</f>
        <v>425000</v>
      </c>
      <c r="N18" s="4">
        <f>D18*G18*H18</f>
        <v>0</v>
      </c>
      <c r="O18" s="4">
        <f>SQRT(L18/D18)</f>
        <v>8.6602540378443873</v>
      </c>
      <c r="P18" s="4">
        <f>SQRT(K18/D18)</f>
        <v>14.433756729740644</v>
      </c>
    </row>
    <row r="19" spans="1:16" x14ac:dyDescent="0.3">
      <c r="A19" s="1">
        <v>8</v>
      </c>
      <c r="B19" s="2">
        <v>250</v>
      </c>
      <c r="C19" s="2">
        <v>500</v>
      </c>
      <c r="D19" s="2">
        <f>B19*C19</f>
        <v>125000</v>
      </c>
      <c r="E19" s="2">
        <f>B19/2</f>
        <v>125</v>
      </c>
      <c r="F19" s="2">
        <f>C19/2</f>
        <v>250</v>
      </c>
      <c r="G19" s="2">
        <v>0</v>
      </c>
      <c r="H19" s="2">
        <v>0</v>
      </c>
      <c r="I19" s="2">
        <f>D19*G19/D19</f>
        <v>0</v>
      </c>
      <c r="J19" s="2">
        <f>D19*H19/D19</f>
        <v>0</v>
      </c>
      <c r="K19" s="2">
        <f>B19*C19^3/12+H19^2*D19</f>
        <v>2604166666.6666665</v>
      </c>
      <c r="L19" s="2">
        <f>C19*B19^3/12+G19^2*D19</f>
        <v>651041666.66666663</v>
      </c>
      <c r="M19" s="2">
        <f t="shared" ref="M19" si="7">SUM(K19:L19)</f>
        <v>3255208333.333333</v>
      </c>
      <c r="N19" s="4">
        <f>D19*G19*H19</f>
        <v>0</v>
      </c>
      <c r="O19" s="4">
        <f>SQRT(L19/D19)</f>
        <v>72.168783648703211</v>
      </c>
    </row>
    <row r="20" spans="1:16" x14ac:dyDescent="0.3">
      <c r="E20" s="2">
        <f>250*50*(200+50/2)</f>
        <v>2812500</v>
      </c>
      <c r="G20" s="2">
        <f>250*250*(250/2)</f>
        <v>7812500</v>
      </c>
    </row>
    <row r="21" spans="1:16" x14ac:dyDescent="0.3">
      <c r="A21" s="1">
        <v>9</v>
      </c>
      <c r="B21" s="2">
        <v>400</v>
      </c>
      <c r="C21" s="2">
        <v>600</v>
      </c>
      <c r="D21" s="2">
        <f>B21*C21</f>
        <v>240000</v>
      </c>
      <c r="E21" s="2">
        <f t="shared" ref="E21:F24" si="8">B21/2</f>
        <v>200</v>
      </c>
      <c r="F21" s="2">
        <f t="shared" si="8"/>
        <v>300</v>
      </c>
      <c r="G21" s="2">
        <v>0</v>
      </c>
      <c r="H21" s="2">
        <v>0</v>
      </c>
      <c r="I21" s="2">
        <f>D21*G21/D21</f>
        <v>0</v>
      </c>
      <c r="J21" s="2">
        <f>D21*H21/D21</f>
        <v>0</v>
      </c>
      <c r="K21" s="2">
        <f>B21*C21^3/12+H21^2*D21</f>
        <v>7200000000</v>
      </c>
      <c r="L21" s="2">
        <f>C21*B21^3/12+G21^2*D21</f>
        <v>3200000000</v>
      </c>
      <c r="M21" s="2">
        <f t="shared" ref="M21" si="9">SUM(K21:L21)</f>
        <v>10400000000</v>
      </c>
      <c r="N21" s="4">
        <f>D21*G21*H21</f>
        <v>0</v>
      </c>
      <c r="O21" s="4">
        <f>SQRT(L21/D21)</f>
        <v>115.47005383792515</v>
      </c>
    </row>
    <row r="22" spans="1:16" x14ac:dyDescent="0.3">
      <c r="B22" s="2">
        <v>15</v>
      </c>
      <c r="C22" s="2">
        <v>20</v>
      </c>
      <c r="D22" s="2">
        <f>B22*C22</f>
        <v>300</v>
      </c>
      <c r="E22" s="2">
        <f t="shared" si="8"/>
        <v>7.5</v>
      </c>
      <c r="F22" s="2">
        <f t="shared" si="8"/>
        <v>10</v>
      </c>
      <c r="G22" s="2">
        <v>0</v>
      </c>
      <c r="H22" s="2">
        <v>20</v>
      </c>
      <c r="I22" s="2">
        <f>D22*G22/D22</f>
        <v>0</v>
      </c>
      <c r="J22" s="2">
        <f>D22*H22/D22</f>
        <v>20</v>
      </c>
      <c r="K22" s="2">
        <f>B22*C22^3/12+H22^2*D22</f>
        <v>130000</v>
      </c>
      <c r="L22" s="2">
        <f>C22*B22^3/12+G22^2*D22</f>
        <v>5625</v>
      </c>
      <c r="M22" s="2">
        <f t="shared" ref="M22" si="10">SUM(K22:L22)</f>
        <v>135625</v>
      </c>
      <c r="N22" s="4">
        <f>D22*G22*H22</f>
        <v>0</v>
      </c>
      <c r="O22" s="4">
        <f>SQRT(L22/D22)</f>
        <v>4.3301270189221936</v>
      </c>
    </row>
    <row r="23" spans="1:16" x14ac:dyDescent="0.3">
      <c r="B23" s="2">
        <v>100</v>
      </c>
      <c r="C23" s="2">
        <v>20</v>
      </c>
      <c r="D23" s="2">
        <f>B23*C23</f>
        <v>2000</v>
      </c>
      <c r="E23" s="2">
        <f t="shared" si="8"/>
        <v>50</v>
      </c>
      <c r="F23" s="2">
        <f t="shared" si="8"/>
        <v>10</v>
      </c>
      <c r="G23" s="2">
        <v>0</v>
      </c>
      <c r="H23" s="2">
        <f>130-103.75</f>
        <v>26.25</v>
      </c>
      <c r="I23" s="2">
        <f>D23*G23/D23</f>
        <v>0</v>
      </c>
      <c r="J23" s="2">
        <f>D23*H23/D23</f>
        <v>26.25</v>
      </c>
      <c r="K23" s="3">
        <f>B23*C23^3/12+H23^2*D23</f>
        <v>1444791.6666666667</v>
      </c>
      <c r="L23" s="2">
        <f>C23*B23^3/12+G23^2*D23</f>
        <v>1666666.6666666667</v>
      </c>
      <c r="M23" s="2">
        <f t="shared" ref="M23" si="11">SUM(K23:L23)</f>
        <v>3111458.3333333335</v>
      </c>
      <c r="N23" s="4">
        <f>D23*G23*H23</f>
        <v>0</v>
      </c>
      <c r="O23" s="4">
        <f>SQRT(L23/D23)</f>
        <v>28.867513459481287</v>
      </c>
    </row>
    <row r="24" spans="1:16" x14ac:dyDescent="0.3">
      <c r="B24" s="2">
        <v>10</v>
      </c>
      <c r="C24" s="2">
        <v>120</v>
      </c>
      <c r="D24" s="2">
        <f>B24*C24</f>
        <v>1200</v>
      </c>
      <c r="E24" s="2">
        <f t="shared" si="8"/>
        <v>5</v>
      </c>
      <c r="F24" s="2">
        <f t="shared" si="8"/>
        <v>60</v>
      </c>
      <c r="G24" s="2">
        <v>0</v>
      </c>
      <c r="H24" s="2">
        <f>103.75-60</f>
        <v>43.75</v>
      </c>
      <c r="I24" s="2">
        <f>D24*G24/D24</f>
        <v>0</v>
      </c>
      <c r="J24" s="2">
        <f>D24*H24/D24</f>
        <v>43.75</v>
      </c>
      <c r="K24" s="3">
        <f>B24*C24^3/12+H24^2*D24</f>
        <v>3736875</v>
      </c>
      <c r="L24" s="2">
        <f>C24*B24^3/12+G24^2*D24</f>
        <v>10000</v>
      </c>
      <c r="M24" s="2">
        <f t="shared" ref="M24" si="12">SUM(K24:L24)</f>
        <v>3746875</v>
      </c>
      <c r="N24" s="4">
        <f>D24*G24*H24</f>
        <v>0</v>
      </c>
      <c r="O24" s="4">
        <f>SQRT(L24/D24)</f>
        <v>2.8867513459481291</v>
      </c>
    </row>
    <row r="25" spans="1:16" x14ac:dyDescent="0.3">
      <c r="K25" s="3">
        <f>SUM(K23:K24)</f>
        <v>5181666.666666667</v>
      </c>
      <c r="L25" s="3">
        <f>K25/103.75</f>
        <v>49943.77510040161</v>
      </c>
      <c r="M25" s="3">
        <f>K25/(140-103.75)</f>
        <v>142942.52873563219</v>
      </c>
    </row>
    <row r="26" spans="1:16" x14ac:dyDescent="0.3">
      <c r="B26" s="3">
        <f>700*(120^2+70^2)</f>
        <v>13510000</v>
      </c>
      <c r="G26" s="3"/>
      <c r="H26" s="3"/>
      <c r="K26" s="3"/>
    </row>
    <row r="27" spans="1:16" x14ac:dyDescent="0.3">
      <c r="K27" s="3"/>
    </row>
    <row r="30" spans="1:16" x14ac:dyDescent="0.3">
      <c r="B30" s="2" t="s">
        <v>0</v>
      </c>
      <c r="C30" s="2" t="s">
        <v>20</v>
      </c>
      <c r="D30" s="2" t="s">
        <v>21</v>
      </c>
      <c r="E30" s="2" t="s">
        <v>24</v>
      </c>
      <c r="F30" s="2" t="s">
        <v>25</v>
      </c>
      <c r="G30" s="2" t="s">
        <v>26</v>
      </c>
      <c r="H30" s="2" t="s">
        <v>27</v>
      </c>
      <c r="I30" s="2" t="s">
        <v>22</v>
      </c>
      <c r="J30" s="2" t="s">
        <v>23</v>
      </c>
    </row>
    <row r="31" spans="1:16" x14ac:dyDescent="0.3">
      <c r="A31" s="1">
        <v>1</v>
      </c>
      <c r="B31" s="2">
        <v>1000</v>
      </c>
      <c r="C31" s="2">
        <v>500</v>
      </c>
      <c r="D31" s="2">
        <v>-50</v>
      </c>
      <c r="E31" s="2">
        <f>ATAN(-2*D31/(B31-C31))/2</f>
        <v>9.8697779924940388E-2</v>
      </c>
      <c r="F31" s="3">
        <f>E31*180/PI()</f>
        <v>5.6549662370101066</v>
      </c>
      <c r="G31" s="3">
        <f>(B31+C31)/2</f>
        <v>750</v>
      </c>
      <c r="H31" s="3">
        <f>SQRT((B31-C31)^2/4+D31^2)</f>
        <v>254.95097567963924</v>
      </c>
      <c r="I31" s="3">
        <f>G31+H31</f>
        <v>1004.9509756796392</v>
      </c>
      <c r="J31" s="3">
        <f>G31-H31</f>
        <v>495.04902432036079</v>
      </c>
    </row>
    <row r="32" spans="1:16" x14ac:dyDescent="0.3">
      <c r="A32" s="1">
        <v>2</v>
      </c>
      <c r="B32" s="2">
        <v>5333333.3333333302</v>
      </c>
      <c r="C32" s="2">
        <v>3333333.3333333302</v>
      </c>
      <c r="D32" s="2">
        <v>-2400000</v>
      </c>
      <c r="E32" s="2">
        <f>ATAN(-2*D32/(B32-C32))/2</f>
        <v>0.5880026035475675</v>
      </c>
      <c r="F32" s="3">
        <f>E32*180/PI()</f>
        <v>33.690067525979785</v>
      </c>
      <c r="G32" s="3">
        <f>(B32+C32)/2</f>
        <v>4333333.3333333302</v>
      </c>
      <c r="H32" s="3">
        <f>SQRT((B32-C32)^2/4+D32^2)</f>
        <v>2600000</v>
      </c>
      <c r="I32" s="3">
        <f>G32+H32</f>
        <v>6933333.3333333302</v>
      </c>
      <c r="J32" s="3">
        <f>G32-H32</f>
        <v>1733333.3333333302</v>
      </c>
    </row>
    <row r="33" spans="1:11" x14ac:dyDescent="0.3">
      <c r="A33" s="1">
        <v>3</v>
      </c>
      <c r="B33" s="2">
        <v>532</v>
      </c>
      <c r="C33" s="2">
        <v>740</v>
      </c>
      <c r="D33" s="2">
        <v>345</v>
      </c>
      <c r="E33" s="2">
        <f>ATAN(-2*D33/(B33-C33))/2</f>
        <v>0.6390052264115833</v>
      </c>
      <c r="F33" s="3">
        <f>E33*180/PI()</f>
        <v>36.612302560185327</v>
      </c>
      <c r="G33" s="3">
        <f>(B33+C33)/2</f>
        <v>636</v>
      </c>
      <c r="H33" s="3">
        <f>SQRT((B33-C33)^2/4+D33^2)</f>
        <v>360.33456675706259</v>
      </c>
      <c r="I33" s="3">
        <f>G33+H33</f>
        <v>996.33456675706259</v>
      </c>
      <c r="J33" s="3">
        <f>G33-H33</f>
        <v>275.66543324293741</v>
      </c>
    </row>
    <row r="34" spans="1:11" x14ac:dyDescent="0.3">
      <c r="A34" s="1">
        <v>4</v>
      </c>
      <c r="B34" s="2">
        <f>K18</f>
        <v>312500</v>
      </c>
      <c r="C34" s="2">
        <f>L18</f>
        <v>112500</v>
      </c>
      <c r="D34" s="2">
        <f>N18</f>
        <v>0</v>
      </c>
      <c r="E34" s="2">
        <f>ATAN(-2*D34/(B34-C34))/2</f>
        <v>0</v>
      </c>
      <c r="F34" s="3">
        <f>E34*180/PI()</f>
        <v>0</v>
      </c>
      <c r="G34" s="3">
        <f>(B34+C34)/2</f>
        <v>212500</v>
      </c>
      <c r="H34" s="3">
        <f>SQRT((B34-C34)^2/4+D34^2)</f>
        <v>100000</v>
      </c>
      <c r="I34" s="3">
        <f>G34+H34</f>
        <v>312500</v>
      </c>
      <c r="J34" s="3">
        <f>G34-H34</f>
        <v>112500</v>
      </c>
    </row>
    <row r="36" spans="1:11" x14ac:dyDescent="0.3">
      <c r="C36" s="2">
        <f>7530000/300/500</f>
        <v>50.2</v>
      </c>
    </row>
    <row r="39" spans="1:11" x14ac:dyDescent="0.3">
      <c r="B39" s="2" t="s">
        <v>28</v>
      </c>
      <c r="C39" s="2" t="s">
        <v>32</v>
      </c>
      <c r="D39" s="2" t="s">
        <v>62</v>
      </c>
      <c r="E39" s="2" t="s">
        <v>63</v>
      </c>
      <c r="F39" s="2" t="s">
        <v>29</v>
      </c>
      <c r="G39" s="2" t="s">
        <v>30</v>
      </c>
      <c r="H39" s="2" t="s">
        <v>31</v>
      </c>
      <c r="I39" s="2" t="s">
        <v>33</v>
      </c>
      <c r="J39" s="2" t="s">
        <v>42</v>
      </c>
      <c r="K39" s="2" t="s">
        <v>41</v>
      </c>
    </row>
    <row r="40" spans="1:11" x14ac:dyDescent="0.3">
      <c r="A40" s="1">
        <v>1</v>
      </c>
      <c r="B40" s="2">
        <f>250/2</f>
        <v>125</v>
      </c>
      <c r="C40" s="2">
        <f>500/2</f>
        <v>250</v>
      </c>
      <c r="D40" s="2">
        <f>50/2</f>
        <v>25</v>
      </c>
      <c r="E40" s="2">
        <f t="shared" ref="E40:E48" si="13">C40/2-D40</f>
        <v>100</v>
      </c>
      <c r="F40" s="2">
        <f>1200*1000</f>
        <v>1200000</v>
      </c>
      <c r="G40" s="2">
        <f>B40*D40*(E40+D40/2)</f>
        <v>351562.5</v>
      </c>
      <c r="H40" s="2">
        <f t="shared" ref="H40:H48" si="14">B40*C40^3/12</f>
        <v>162760416.66666666</v>
      </c>
      <c r="I40" s="2">
        <f>F40*G40/H40/B40</f>
        <v>20.736000000000001</v>
      </c>
      <c r="J40" s="5">
        <f>250000000</f>
        <v>250000000</v>
      </c>
      <c r="K40" s="3">
        <f>J40/H40*E40</f>
        <v>153.6</v>
      </c>
    </row>
    <row r="41" spans="1:11" x14ac:dyDescent="0.3">
      <c r="A41" s="1">
        <v>2</v>
      </c>
      <c r="B41" s="2">
        <f>250/2</f>
        <v>125</v>
      </c>
      <c r="C41" s="2">
        <f>500/2</f>
        <v>250</v>
      </c>
      <c r="D41" s="2">
        <f>C41/2</f>
        <v>125</v>
      </c>
      <c r="E41" s="2">
        <f t="shared" si="13"/>
        <v>0</v>
      </c>
      <c r="F41" s="2">
        <f>1200*1000</f>
        <v>1200000</v>
      </c>
      <c r="G41" s="2">
        <f>B41*D41*(E41+D41/2)</f>
        <v>976562.5</v>
      </c>
      <c r="H41" s="2">
        <f t="shared" si="14"/>
        <v>162760416.66666666</v>
      </c>
      <c r="I41" s="2">
        <f>F41*G41/H41/B41</f>
        <v>57.6</v>
      </c>
      <c r="J41" s="5">
        <f t="shared" ref="J41:J42" si="15">250000000</f>
        <v>250000000</v>
      </c>
      <c r="K41" s="3">
        <f t="shared" ref="K41:K42" si="16">J41/H41*E41</f>
        <v>0</v>
      </c>
    </row>
    <row r="42" spans="1:11" x14ac:dyDescent="0.3">
      <c r="A42" s="1">
        <v>3</v>
      </c>
      <c r="B42" s="2">
        <f>250/2</f>
        <v>125</v>
      </c>
      <c r="C42" s="2">
        <f>500/2</f>
        <v>250</v>
      </c>
      <c r="D42" s="2">
        <v>0</v>
      </c>
      <c r="E42" s="2">
        <f t="shared" si="13"/>
        <v>125</v>
      </c>
      <c r="F42" s="2">
        <f>1200*1000</f>
        <v>1200000</v>
      </c>
      <c r="G42" s="2">
        <f>B42*D42*(E42+D42/2)</f>
        <v>0</v>
      </c>
      <c r="H42" s="2">
        <f t="shared" si="14"/>
        <v>162760416.66666666</v>
      </c>
      <c r="I42" s="2">
        <f>F42*G42/H42/B42</f>
        <v>0</v>
      </c>
      <c r="J42" s="5">
        <f t="shared" si="15"/>
        <v>250000000</v>
      </c>
      <c r="K42" s="3">
        <f t="shared" si="16"/>
        <v>192</v>
      </c>
    </row>
    <row r="43" spans="1:11" x14ac:dyDescent="0.3">
      <c r="A43" s="1">
        <v>4</v>
      </c>
      <c r="B43" s="2">
        <v>50</v>
      </c>
      <c r="C43" s="2">
        <v>120</v>
      </c>
      <c r="D43" s="2">
        <f>C43/2</f>
        <v>60</v>
      </c>
      <c r="E43" s="2">
        <f t="shared" si="13"/>
        <v>0</v>
      </c>
      <c r="F43" s="2">
        <f>75*1000</f>
        <v>75000</v>
      </c>
      <c r="G43" s="2">
        <f>B43*D43*(E43+D43/2)</f>
        <v>90000</v>
      </c>
      <c r="H43" s="2">
        <f t="shared" si="14"/>
        <v>7200000</v>
      </c>
      <c r="I43" s="2">
        <f>F43*G43/H43/B43</f>
        <v>18.75</v>
      </c>
      <c r="J43" s="5"/>
      <c r="K43" s="3"/>
    </row>
    <row r="44" spans="1:11" x14ac:dyDescent="0.3">
      <c r="A44" s="1">
        <v>5</v>
      </c>
      <c r="B44" s="2">
        <v>400</v>
      </c>
      <c r="C44" s="2">
        <v>600</v>
      </c>
      <c r="D44" s="2">
        <v>300</v>
      </c>
      <c r="E44" s="2">
        <f t="shared" si="13"/>
        <v>0</v>
      </c>
      <c r="F44" s="2">
        <v>500000</v>
      </c>
      <c r="G44" s="2">
        <f>B44*D44*(E44+D44/2)</f>
        <v>18000000</v>
      </c>
      <c r="H44" s="2">
        <f t="shared" si="14"/>
        <v>7200000000</v>
      </c>
      <c r="I44" s="2">
        <f>F44*G44/H44/B44</f>
        <v>3.125</v>
      </c>
      <c r="J44" s="5"/>
      <c r="K44" s="3"/>
    </row>
    <row r="45" spans="1:11" x14ac:dyDescent="0.3">
      <c r="A45" s="1">
        <v>5</v>
      </c>
      <c r="B45" s="2">
        <v>400</v>
      </c>
      <c r="C45" s="2">
        <v>600</v>
      </c>
      <c r="D45" s="2">
        <v>0</v>
      </c>
      <c r="E45" s="2">
        <f t="shared" si="13"/>
        <v>300</v>
      </c>
      <c r="H45" s="2">
        <f t="shared" si="14"/>
        <v>7200000000</v>
      </c>
      <c r="J45" s="5">
        <f>750000000</f>
        <v>750000000</v>
      </c>
      <c r="K45" s="3">
        <f t="shared" ref="K45" si="17">J45/H45*E45</f>
        <v>31.25</v>
      </c>
    </row>
    <row r="46" spans="1:11" x14ac:dyDescent="0.3">
      <c r="A46" s="1">
        <v>6</v>
      </c>
      <c r="B46" s="2">
        <v>300</v>
      </c>
      <c r="C46" s="2">
        <v>500</v>
      </c>
      <c r="D46" s="2">
        <v>250</v>
      </c>
      <c r="E46" s="2">
        <f t="shared" si="13"/>
        <v>0</v>
      </c>
      <c r="F46" s="2">
        <v>2000000</v>
      </c>
      <c r="G46" s="2">
        <f>B46*D46*(E46+D46/2)</f>
        <v>9375000</v>
      </c>
      <c r="H46" s="2">
        <f t="shared" si="14"/>
        <v>3125000000</v>
      </c>
      <c r="I46" s="2">
        <f>F46*G46/H46/B46</f>
        <v>20</v>
      </c>
      <c r="J46" s="5"/>
      <c r="K46" s="3"/>
    </row>
    <row r="47" spans="1:11" x14ac:dyDescent="0.3">
      <c r="A47" s="1">
        <v>6</v>
      </c>
      <c r="B47" s="2">
        <v>300</v>
      </c>
      <c r="C47" s="2">
        <v>500</v>
      </c>
      <c r="D47" s="2">
        <v>0</v>
      </c>
      <c r="E47" s="2">
        <f t="shared" si="13"/>
        <v>250</v>
      </c>
      <c r="H47" s="2">
        <f t="shared" si="14"/>
        <v>3125000000</v>
      </c>
      <c r="J47" s="5">
        <f>6000000000</f>
        <v>6000000000</v>
      </c>
      <c r="K47" s="3">
        <f t="shared" ref="K47:K48" si="18">J47/H47*E47</f>
        <v>480</v>
      </c>
    </row>
    <row r="48" spans="1:11" x14ac:dyDescent="0.3">
      <c r="A48" s="1">
        <v>7</v>
      </c>
      <c r="B48" s="2">
        <v>240</v>
      </c>
      <c r="C48" s="2">
        <v>360</v>
      </c>
      <c r="D48" s="2">
        <f>C48/2-40</f>
        <v>140</v>
      </c>
      <c r="E48" s="2">
        <f t="shared" si="13"/>
        <v>40</v>
      </c>
      <c r="F48" s="2">
        <f>240*1000</f>
        <v>240000</v>
      </c>
      <c r="G48" s="2">
        <f>B48*D48*(E48+D48/2)</f>
        <v>3696000</v>
      </c>
      <c r="H48" s="2">
        <f t="shared" si="14"/>
        <v>933120000</v>
      </c>
      <c r="I48" s="2">
        <f t="shared" ref="I48:I57" si="19">F48*G48/H48/B48</f>
        <v>3.9609053497942388</v>
      </c>
      <c r="J48" s="5">
        <v>720000000</v>
      </c>
      <c r="K48" s="3">
        <f t="shared" si="18"/>
        <v>30.864197530864196</v>
      </c>
    </row>
    <row r="49" spans="1:11" x14ac:dyDescent="0.3">
      <c r="A49" s="1">
        <v>8</v>
      </c>
      <c r="B49" s="2">
        <v>300</v>
      </c>
      <c r="C49" s="2">
        <v>500</v>
      </c>
      <c r="D49" s="2">
        <v>250</v>
      </c>
      <c r="E49" s="2">
        <f t="shared" ref="E49" si="20">C49/2-D49</f>
        <v>0</v>
      </c>
      <c r="F49" s="2">
        <v>753000</v>
      </c>
      <c r="G49" s="2">
        <f>B49*D49*(E49+D49/2)</f>
        <v>9375000</v>
      </c>
      <c r="H49" s="2">
        <f t="shared" ref="H49" si="21">B49*C49^3/12</f>
        <v>3125000000</v>
      </c>
      <c r="I49" s="2">
        <f t="shared" si="19"/>
        <v>7.53</v>
      </c>
      <c r="J49" s="5"/>
      <c r="K49" s="3"/>
    </row>
    <row r="50" spans="1:11" x14ac:dyDescent="0.3">
      <c r="A50" s="1">
        <v>9</v>
      </c>
      <c r="B50" s="2">
        <v>10</v>
      </c>
      <c r="F50" s="2">
        <v>92650</v>
      </c>
      <c r="G50" s="2">
        <f>100*20*70+10*60*30</f>
        <v>158000</v>
      </c>
      <c r="H50" s="2">
        <f>100*160^3/12-90*120^3/12</f>
        <v>21173333.333333336</v>
      </c>
      <c r="I50" s="3">
        <f t="shared" si="19"/>
        <v>69.137437027707804</v>
      </c>
      <c r="J50" s="5"/>
      <c r="K50" s="3"/>
    </row>
    <row r="51" spans="1:11" x14ac:dyDescent="0.3">
      <c r="A51" s="1">
        <v>10</v>
      </c>
      <c r="B51" s="2">
        <v>10</v>
      </c>
      <c r="F51" s="2">
        <v>92650</v>
      </c>
      <c r="G51" s="2">
        <f>100*20*70+10*30*45</f>
        <v>153500</v>
      </c>
      <c r="H51" s="2">
        <f>100*160^3/12-90*120^3/12</f>
        <v>21173333.333333336</v>
      </c>
      <c r="I51" s="3">
        <f t="shared" si="19"/>
        <v>67.168332808564216</v>
      </c>
      <c r="J51" s="5"/>
      <c r="K51" s="3"/>
    </row>
    <row r="52" spans="1:11" x14ac:dyDescent="0.3">
      <c r="A52" s="1">
        <v>11</v>
      </c>
      <c r="B52" s="2">
        <v>200</v>
      </c>
      <c r="C52" s="2">
        <v>360</v>
      </c>
      <c r="D52" s="2">
        <v>0</v>
      </c>
      <c r="E52" s="2">
        <f t="shared" ref="E52" si="22">C52/2-D52</f>
        <v>180</v>
      </c>
      <c r="G52" s="2">
        <f t="shared" ref="G52:G57" si="23">B52*D52*(E52+D52/2)</f>
        <v>0</v>
      </c>
      <c r="H52" s="2">
        <f t="shared" ref="H52" si="24">B52*C52^3/12</f>
        <v>777600000</v>
      </c>
      <c r="I52" s="2">
        <f t="shared" si="19"/>
        <v>0</v>
      </c>
      <c r="J52" s="5">
        <f>350*1000000</f>
        <v>350000000</v>
      </c>
      <c r="K52" s="3">
        <f t="shared" ref="K52" si="25">J52/H52*E52</f>
        <v>81.018518518518519</v>
      </c>
    </row>
    <row r="53" spans="1:11" x14ac:dyDescent="0.3">
      <c r="A53" s="1">
        <v>11</v>
      </c>
      <c r="B53" s="2">
        <v>200</v>
      </c>
      <c r="C53" s="2">
        <v>360</v>
      </c>
      <c r="D53" s="2">
        <f>C53/2</f>
        <v>180</v>
      </c>
      <c r="E53" s="2">
        <f t="shared" ref="E53:E54" si="26">C53/2-D53</f>
        <v>0</v>
      </c>
      <c r="G53" s="2">
        <f t="shared" si="23"/>
        <v>3240000</v>
      </c>
      <c r="H53" s="2">
        <f t="shared" ref="H53:H54" si="27">B53*C53^3/12</f>
        <v>777600000</v>
      </c>
      <c r="I53" s="2">
        <f t="shared" si="19"/>
        <v>0</v>
      </c>
      <c r="J53" s="5">
        <f>350*1000000</f>
        <v>350000000</v>
      </c>
      <c r="K53" s="3">
        <f t="shared" ref="K53:K54" si="28">J53/H53*E53</f>
        <v>0</v>
      </c>
    </row>
    <row r="54" spans="1:11" x14ac:dyDescent="0.3">
      <c r="A54" s="1">
        <v>12</v>
      </c>
      <c r="B54" s="2">
        <v>100</v>
      </c>
      <c r="C54" s="2">
        <v>220</v>
      </c>
      <c r="D54" s="2">
        <v>0</v>
      </c>
      <c r="E54" s="2">
        <f t="shared" si="26"/>
        <v>110</v>
      </c>
      <c r="G54" s="2">
        <f t="shared" si="23"/>
        <v>0</v>
      </c>
      <c r="H54" s="2">
        <f t="shared" si="27"/>
        <v>88733333.333333328</v>
      </c>
      <c r="I54" s="2">
        <f t="shared" si="19"/>
        <v>0</v>
      </c>
      <c r="J54" s="5">
        <f>76.3*1000000</f>
        <v>76300000</v>
      </c>
      <c r="K54" s="3">
        <f t="shared" si="28"/>
        <v>94.586776859504141</v>
      </c>
    </row>
    <row r="55" spans="1:11" x14ac:dyDescent="0.3">
      <c r="A55" s="1">
        <v>12</v>
      </c>
      <c r="B55" s="2">
        <v>100</v>
      </c>
      <c r="C55" s="2">
        <v>220</v>
      </c>
      <c r="D55" s="2">
        <v>35</v>
      </c>
      <c r="E55" s="2">
        <f t="shared" ref="E55:E56" si="29">C55/2-D55</f>
        <v>75</v>
      </c>
      <c r="G55" s="2">
        <f t="shared" si="23"/>
        <v>323750</v>
      </c>
      <c r="H55" s="2">
        <f t="shared" ref="H55:H56" si="30">B55*C55^3/12</f>
        <v>88733333.333333328</v>
      </c>
      <c r="I55" s="2">
        <f t="shared" si="19"/>
        <v>0</v>
      </c>
      <c r="J55" s="5">
        <f t="shared" ref="J55:J57" si="31">76.3*1000000</f>
        <v>76300000</v>
      </c>
      <c r="K55" s="3">
        <f t="shared" ref="K55:K56" si="32">J55/H55*E55</f>
        <v>64.490984222389187</v>
      </c>
    </row>
    <row r="56" spans="1:11" x14ac:dyDescent="0.3">
      <c r="A56" s="1">
        <v>12</v>
      </c>
      <c r="B56" s="2">
        <v>100</v>
      </c>
      <c r="C56" s="2">
        <v>220</v>
      </c>
      <c r="D56" s="2">
        <v>60</v>
      </c>
      <c r="E56" s="2">
        <f t="shared" si="29"/>
        <v>50</v>
      </c>
      <c r="G56" s="2">
        <f t="shared" si="23"/>
        <v>480000</v>
      </c>
      <c r="H56" s="2">
        <f t="shared" si="30"/>
        <v>88733333.333333328</v>
      </c>
      <c r="I56" s="2">
        <f t="shared" si="19"/>
        <v>0</v>
      </c>
      <c r="J56" s="5">
        <f t="shared" si="31"/>
        <v>76300000</v>
      </c>
      <c r="K56" s="3">
        <f t="shared" si="32"/>
        <v>42.993989481592791</v>
      </c>
    </row>
    <row r="57" spans="1:11" x14ac:dyDescent="0.3">
      <c r="A57" s="1">
        <v>12</v>
      </c>
      <c r="B57" s="2">
        <v>100</v>
      </c>
      <c r="C57" s="2">
        <v>220</v>
      </c>
      <c r="D57" s="2">
        <v>85</v>
      </c>
      <c r="E57" s="2">
        <f t="shared" ref="E57" si="33">C57/2-D57</f>
        <v>25</v>
      </c>
      <c r="G57" s="2">
        <f t="shared" si="23"/>
        <v>573750</v>
      </c>
      <c r="H57" s="2">
        <f t="shared" ref="H57" si="34">B57*C57^3/12</f>
        <v>88733333.333333328</v>
      </c>
      <c r="I57" s="2">
        <f t="shared" si="19"/>
        <v>0</v>
      </c>
      <c r="J57" s="5">
        <f t="shared" si="31"/>
        <v>76300000</v>
      </c>
      <c r="K57" s="3">
        <f t="shared" ref="K57" si="35">J57/H57*E57</f>
        <v>21.496994740796396</v>
      </c>
    </row>
    <row r="58" spans="1:11" x14ac:dyDescent="0.3">
      <c r="A58" s="1">
        <v>13</v>
      </c>
      <c r="B58" s="2">
        <v>10</v>
      </c>
      <c r="E58" s="2">
        <v>0</v>
      </c>
      <c r="H58" s="2">
        <f>100*160^3/12-90*120^3/12</f>
        <v>21173333.333333336</v>
      </c>
      <c r="J58" s="5">
        <f>73*1000000</f>
        <v>73000000</v>
      </c>
      <c r="K58" s="3">
        <f t="shared" ref="K58:K59" si="36">J58/H58*E58</f>
        <v>0</v>
      </c>
    </row>
    <row r="59" spans="1:11" x14ac:dyDescent="0.3">
      <c r="A59" s="1">
        <v>13</v>
      </c>
      <c r="B59" s="2">
        <v>10</v>
      </c>
      <c r="E59" s="2">
        <v>30</v>
      </c>
      <c r="H59" s="2">
        <f>100*160^3/12-90*120^3/12</f>
        <v>21173333.333333336</v>
      </c>
      <c r="J59" s="5">
        <f>73*1000000</f>
        <v>73000000</v>
      </c>
      <c r="K59" s="3">
        <f t="shared" si="36"/>
        <v>103.43198992443322</v>
      </c>
    </row>
    <row r="60" spans="1:11" x14ac:dyDescent="0.3">
      <c r="A60" s="1">
        <v>13</v>
      </c>
      <c r="B60" s="2">
        <v>10</v>
      </c>
      <c r="E60" s="2">
        <v>60</v>
      </c>
      <c r="H60" s="2">
        <f>100*160^3/12-90*120^3/12</f>
        <v>21173333.333333336</v>
      </c>
      <c r="J60" s="5">
        <f>73*1000000</f>
        <v>73000000</v>
      </c>
      <c r="K60" s="3">
        <f t="shared" ref="K60:K64" si="37">J60/H60*E60</f>
        <v>206.86397984886645</v>
      </c>
    </row>
    <row r="61" spans="1:11" x14ac:dyDescent="0.3">
      <c r="A61" s="1">
        <v>13</v>
      </c>
      <c r="B61" s="2">
        <v>10</v>
      </c>
      <c r="E61" s="2">
        <v>80</v>
      </c>
      <c r="H61" s="2">
        <f>100*160^3/12-90*120^3/12</f>
        <v>21173333.333333336</v>
      </c>
      <c r="J61" s="5">
        <f>73*1000000</f>
        <v>73000000</v>
      </c>
      <c r="K61" s="3">
        <f t="shared" si="37"/>
        <v>275.81863979848862</v>
      </c>
    </row>
    <row r="62" spans="1:11" x14ac:dyDescent="0.3">
      <c r="A62" s="1">
        <v>14</v>
      </c>
      <c r="B62" s="2">
        <v>200</v>
      </c>
      <c r="C62" s="2">
        <v>360</v>
      </c>
      <c r="D62" s="2">
        <v>0</v>
      </c>
      <c r="E62" s="2">
        <f t="shared" ref="E62:E63" si="38">C62/2-D62</f>
        <v>180</v>
      </c>
      <c r="F62" s="2">
        <f>80*4/2*1000</f>
        <v>160000</v>
      </c>
      <c r="G62" s="2">
        <f>B62*D62*(E62+D62/2)</f>
        <v>0</v>
      </c>
      <c r="H62" s="2">
        <f t="shared" ref="H62" si="39">B62*C62^3/12</f>
        <v>777600000</v>
      </c>
      <c r="I62" s="3">
        <f>F62*G62/H62/B62</f>
        <v>0</v>
      </c>
      <c r="J62" s="5">
        <f>80*4^2/8*1000000</f>
        <v>160000000</v>
      </c>
      <c r="K62" s="3">
        <f t="shared" ref="K62" si="40">J62/H62*E62</f>
        <v>37.037037037037038</v>
      </c>
    </row>
    <row r="63" spans="1:11" x14ac:dyDescent="0.3">
      <c r="A63" s="1">
        <v>14</v>
      </c>
      <c r="B63" s="2">
        <v>200</v>
      </c>
      <c r="C63" s="2">
        <v>360</v>
      </c>
      <c r="D63" s="2">
        <f>C63/2</f>
        <v>180</v>
      </c>
      <c r="E63" s="2">
        <f t="shared" si="38"/>
        <v>0</v>
      </c>
      <c r="F63" s="2">
        <f>80*4/2*1000</f>
        <v>160000</v>
      </c>
      <c r="G63" s="2">
        <f>B63*D63*(E63+D63/2)</f>
        <v>3240000</v>
      </c>
      <c r="H63" s="2">
        <f t="shared" ref="H63:H64" si="41">B63*C63^3/12</f>
        <v>777600000</v>
      </c>
      <c r="I63" s="3">
        <f>F63*G63/H63/B63</f>
        <v>3.333333333333333</v>
      </c>
      <c r="J63" s="5">
        <f>80*4^2/8*1000000</f>
        <v>160000000</v>
      </c>
      <c r="K63" s="3">
        <f t="shared" si="37"/>
        <v>0</v>
      </c>
    </row>
    <row r="64" spans="1:11" x14ac:dyDescent="0.3">
      <c r="A64" s="1">
        <v>15</v>
      </c>
      <c r="B64" s="2">
        <v>360</v>
      </c>
      <c r="C64" s="2">
        <v>600</v>
      </c>
      <c r="D64" s="2">
        <f>C64/2-50</f>
        <v>250</v>
      </c>
      <c r="E64" s="2">
        <f t="shared" ref="E64" si="42">C64/2-D64</f>
        <v>50</v>
      </c>
      <c r="F64" s="2">
        <f>350*6*1000</f>
        <v>2100000</v>
      </c>
      <c r="G64" s="2">
        <f>B64*D64*(E64+D64/2)</f>
        <v>15750000</v>
      </c>
      <c r="H64" s="5">
        <f t="shared" si="41"/>
        <v>6480000000</v>
      </c>
      <c r="I64" s="3">
        <f>F64*G64/H64/B64</f>
        <v>14.178240740740742</v>
      </c>
      <c r="J64" s="5">
        <f>350*6*3*1000000</f>
        <v>6300000000</v>
      </c>
      <c r="K64" s="3">
        <f t="shared" si="37"/>
        <v>48.611111111111107</v>
      </c>
    </row>
    <row r="71" spans="1:13" x14ac:dyDescent="0.3">
      <c r="B71" s="2" t="s">
        <v>34</v>
      </c>
      <c r="C71" s="2" t="s">
        <v>35</v>
      </c>
      <c r="D71" s="2" t="s">
        <v>36</v>
      </c>
      <c r="E71" s="2" t="s">
        <v>24</v>
      </c>
      <c r="F71" s="2" t="s">
        <v>25</v>
      </c>
      <c r="G71" s="2" t="s">
        <v>26</v>
      </c>
      <c r="H71" s="2" t="s">
        <v>27</v>
      </c>
      <c r="I71" s="2" t="s">
        <v>37</v>
      </c>
      <c r="J71" s="2" t="s">
        <v>38</v>
      </c>
      <c r="K71" s="2" t="s">
        <v>39</v>
      </c>
      <c r="L71" s="2" t="s">
        <v>40</v>
      </c>
    </row>
    <row r="72" spans="1:13" x14ac:dyDescent="0.3">
      <c r="A72" s="1">
        <v>1</v>
      </c>
      <c r="B72" s="3">
        <v>1000</v>
      </c>
      <c r="C72" s="3">
        <v>500</v>
      </c>
      <c r="D72" s="3">
        <v>-50</v>
      </c>
      <c r="E72" s="3">
        <f t="shared" ref="E72:E78" si="43">ATAN(-2*D72/(B72-C72))/2</f>
        <v>9.8697779924940388E-2</v>
      </c>
      <c r="F72" s="3">
        <f t="shared" ref="F72:F78" si="44">E72*180/PI()</f>
        <v>5.6549662370101066</v>
      </c>
      <c r="G72" s="3">
        <f t="shared" ref="G72:G78" si="45">(B72+C72)/2</f>
        <v>750</v>
      </c>
      <c r="H72" s="3">
        <f t="shared" ref="H72:H78" si="46">SQRT((B72-C72)^2/4+D72^2)</f>
        <v>254.95097567963924</v>
      </c>
      <c r="I72" s="3">
        <f t="shared" ref="I72:I78" si="47">G72+H72</f>
        <v>1004.9509756796392</v>
      </c>
      <c r="J72" s="3">
        <f t="shared" ref="J72:J78" si="48">G72-H72</f>
        <v>495.04902432036079</v>
      </c>
      <c r="K72" s="3">
        <f t="shared" ref="K72:K76" si="49">F72+45</f>
        <v>50.654966237010107</v>
      </c>
      <c r="L72" s="3">
        <f t="shared" ref="L72:L76" si="50">K72-90</f>
        <v>-39.345033762989893</v>
      </c>
      <c r="M72" s="3"/>
    </row>
    <row r="73" spans="1:13" x14ac:dyDescent="0.3">
      <c r="A73" s="1">
        <v>2</v>
      </c>
      <c r="B73" s="3">
        <v>5333333.3333333302</v>
      </c>
      <c r="C73" s="3">
        <v>3333333.3333333302</v>
      </c>
      <c r="D73" s="3">
        <v>-2400000</v>
      </c>
      <c r="E73" s="3">
        <f t="shared" si="43"/>
        <v>0.5880026035475675</v>
      </c>
      <c r="F73" s="3">
        <f t="shared" si="44"/>
        <v>33.690067525979785</v>
      </c>
      <c r="G73" s="3">
        <f t="shared" si="45"/>
        <v>4333333.3333333302</v>
      </c>
      <c r="H73" s="3">
        <f t="shared" si="46"/>
        <v>2600000</v>
      </c>
      <c r="I73" s="3">
        <f t="shared" si="47"/>
        <v>6933333.3333333302</v>
      </c>
      <c r="J73" s="3">
        <f t="shared" si="48"/>
        <v>1733333.3333333302</v>
      </c>
      <c r="K73" s="3">
        <f t="shared" si="49"/>
        <v>78.690067525979785</v>
      </c>
      <c r="L73" s="3">
        <f t="shared" si="50"/>
        <v>-11.309932474020215</v>
      </c>
      <c r="M73" s="3"/>
    </row>
    <row r="74" spans="1:13" x14ac:dyDescent="0.3">
      <c r="A74" s="1">
        <v>3</v>
      </c>
      <c r="B74" s="3">
        <v>532</v>
      </c>
      <c r="C74" s="3">
        <v>740</v>
      </c>
      <c r="D74" s="3">
        <v>345</v>
      </c>
      <c r="E74" s="3">
        <f t="shared" si="43"/>
        <v>0.6390052264115833</v>
      </c>
      <c r="F74" s="3">
        <f t="shared" si="44"/>
        <v>36.612302560185327</v>
      </c>
      <c r="G74" s="3">
        <f t="shared" si="45"/>
        <v>636</v>
      </c>
      <c r="H74" s="3">
        <f t="shared" si="46"/>
        <v>360.33456675706259</v>
      </c>
      <c r="I74" s="3">
        <f t="shared" si="47"/>
        <v>996.33456675706259</v>
      </c>
      <c r="J74" s="3">
        <f t="shared" si="48"/>
        <v>275.66543324293741</v>
      </c>
      <c r="K74" s="3">
        <f t="shared" si="49"/>
        <v>81.612302560185327</v>
      </c>
      <c r="L74" s="3">
        <f t="shared" si="50"/>
        <v>-8.3876974398146729</v>
      </c>
      <c r="M74" s="3"/>
    </row>
    <row r="75" spans="1:13" x14ac:dyDescent="0.3">
      <c r="A75" s="1">
        <v>4</v>
      </c>
      <c r="B75" s="3">
        <v>300</v>
      </c>
      <c r="C75" s="3">
        <v>150</v>
      </c>
      <c r="D75" s="3">
        <v>200</v>
      </c>
      <c r="E75" s="3">
        <f t="shared" si="43"/>
        <v>-0.60601282826216218</v>
      </c>
      <c r="F75" s="3">
        <f t="shared" si="44"/>
        <v>-34.721977390208266</v>
      </c>
      <c r="G75" s="3">
        <f t="shared" si="45"/>
        <v>225</v>
      </c>
      <c r="H75" s="3">
        <f t="shared" si="46"/>
        <v>213.60009363293827</v>
      </c>
      <c r="I75" s="3">
        <f t="shared" si="47"/>
        <v>438.6000936329383</v>
      </c>
      <c r="J75" s="3">
        <f t="shared" si="48"/>
        <v>11.399906367061732</v>
      </c>
      <c r="K75" s="3">
        <f t="shared" si="49"/>
        <v>10.278022609791734</v>
      </c>
      <c r="L75" s="3">
        <f t="shared" si="50"/>
        <v>-79.721977390208266</v>
      </c>
      <c r="M75" s="3"/>
    </row>
    <row r="76" spans="1:13" x14ac:dyDescent="0.3">
      <c r="A76" s="1">
        <v>5</v>
      </c>
      <c r="B76" s="3">
        <v>50</v>
      </c>
      <c r="C76" s="3">
        <v>-10</v>
      </c>
      <c r="D76" s="3">
        <v>40</v>
      </c>
      <c r="E76" s="3">
        <f t="shared" si="43"/>
        <v>-0.46364760900080609</v>
      </c>
      <c r="F76" s="3">
        <f t="shared" si="44"/>
        <v>-26.56505117707799</v>
      </c>
      <c r="G76" s="3">
        <f t="shared" si="45"/>
        <v>20</v>
      </c>
      <c r="H76" s="3">
        <f t="shared" si="46"/>
        <v>50</v>
      </c>
      <c r="I76" s="3">
        <f t="shared" si="47"/>
        <v>70</v>
      </c>
      <c r="J76" s="3">
        <f t="shared" si="48"/>
        <v>-30</v>
      </c>
      <c r="K76" s="3">
        <f t="shared" si="49"/>
        <v>18.43494882292201</v>
      </c>
      <c r="L76" s="3">
        <f t="shared" si="50"/>
        <v>-71.56505117707799</v>
      </c>
      <c r="M76" s="3"/>
    </row>
    <row r="77" spans="1:13" x14ac:dyDescent="0.3">
      <c r="A77" s="1">
        <v>6</v>
      </c>
      <c r="B77" s="3">
        <v>800</v>
      </c>
      <c r="C77" s="3">
        <v>400</v>
      </c>
      <c r="D77" s="3">
        <v>-550</v>
      </c>
      <c r="E77" s="3">
        <f t="shared" si="43"/>
        <v>0.61101266160549483</v>
      </c>
      <c r="F77" s="3">
        <f t="shared" si="44"/>
        <v>35.008446739050015</v>
      </c>
      <c r="G77" s="3">
        <f t="shared" si="45"/>
        <v>600</v>
      </c>
      <c r="H77" s="3">
        <f t="shared" si="46"/>
        <v>585.23499553598128</v>
      </c>
      <c r="I77" s="3">
        <f t="shared" si="47"/>
        <v>1185.2349955359814</v>
      </c>
      <c r="J77" s="3">
        <f t="shared" si="48"/>
        <v>14.765004464018716</v>
      </c>
      <c r="K77" s="3">
        <f t="shared" ref="K77:K84" si="51">F77+45</f>
        <v>80.008446739050015</v>
      </c>
      <c r="L77" s="3">
        <f t="shared" ref="L77:L84" si="52">K77-90</f>
        <v>-9.9915532609499849</v>
      </c>
      <c r="M77" s="3"/>
    </row>
    <row r="78" spans="1:13" x14ac:dyDescent="0.3">
      <c r="A78" s="1">
        <v>7</v>
      </c>
      <c r="B78" s="3">
        <f>K48</f>
        <v>30.864197530864196</v>
      </c>
      <c r="C78" s="3">
        <v>0</v>
      </c>
      <c r="D78" s="3">
        <f>I48</f>
        <v>3.9609053497942388</v>
      </c>
      <c r="E78" s="3">
        <f t="shared" si="43"/>
        <v>-0.12562163201205953</v>
      </c>
      <c r="F78" s="3">
        <f t="shared" si="44"/>
        <v>-7.1975893298365268</v>
      </c>
      <c r="G78" s="3">
        <f t="shared" si="45"/>
        <v>15.432098765432098</v>
      </c>
      <c r="H78" s="3">
        <f t="shared" si="46"/>
        <v>15.932308165990248</v>
      </c>
      <c r="I78" s="3">
        <f t="shared" si="47"/>
        <v>31.364406931422344</v>
      </c>
      <c r="J78" s="3">
        <f t="shared" si="48"/>
        <v>-0.50020940055815011</v>
      </c>
      <c r="K78" s="3">
        <f t="shared" si="51"/>
        <v>37.802410670163475</v>
      </c>
      <c r="L78" s="3">
        <f t="shared" si="52"/>
        <v>-52.197589329836525</v>
      </c>
      <c r="M78" s="3">
        <f>L78*2</f>
        <v>-104.39517865967305</v>
      </c>
    </row>
    <row r="79" spans="1:13" x14ac:dyDescent="0.3">
      <c r="A79" s="1">
        <v>8</v>
      </c>
      <c r="B79" s="3">
        <v>-150</v>
      </c>
      <c r="C79" s="3">
        <v>352</v>
      </c>
      <c r="D79" s="3">
        <v>-24</v>
      </c>
      <c r="E79" s="3">
        <f t="shared" ref="E79:E83" si="53">ATAN(-2*D79/(B79-C79))/2</f>
        <v>-4.7663858426665248E-2</v>
      </c>
      <c r="F79" s="3">
        <f t="shared" ref="F79:F83" si="54">E79*180/PI()</f>
        <v>-2.7309379231569828</v>
      </c>
      <c r="G79" s="3">
        <f t="shared" ref="G79:G83" si="55">(B79+C79)/2</f>
        <v>101</v>
      </c>
      <c r="H79" s="3">
        <f t="shared" ref="H79:H83" si="56">SQRT((B79-C79)^2/4+D79^2)</f>
        <v>252.14479966876175</v>
      </c>
      <c r="I79" s="3">
        <f t="shared" ref="I79:I83" si="57">G79+H79</f>
        <v>353.14479966876172</v>
      </c>
      <c r="J79" s="3">
        <f t="shared" ref="J79:J83" si="58">G79-H79</f>
        <v>-151.14479966876175</v>
      </c>
      <c r="K79" s="3">
        <f t="shared" si="51"/>
        <v>42.269062076843014</v>
      </c>
      <c r="L79" s="3">
        <f t="shared" si="52"/>
        <v>-47.730937923156986</v>
      </c>
      <c r="M79" s="3">
        <f>L79*2</f>
        <v>-95.461875846313973</v>
      </c>
    </row>
    <row r="80" spans="1:13" x14ac:dyDescent="0.3">
      <c r="A80" s="1">
        <v>9</v>
      </c>
      <c r="B80" s="3">
        <v>-400</v>
      </c>
      <c r="C80" s="3">
        <v>-300</v>
      </c>
      <c r="D80" s="3">
        <v>120</v>
      </c>
      <c r="E80" s="3">
        <f t="shared" si="53"/>
        <v>0.5880026035475675</v>
      </c>
      <c r="F80" s="3">
        <f t="shared" si="54"/>
        <v>33.690067525979785</v>
      </c>
      <c r="G80" s="3">
        <f t="shared" si="55"/>
        <v>-350</v>
      </c>
      <c r="H80" s="3">
        <f t="shared" si="56"/>
        <v>130</v>
      </c>
      <c r="I80" s="3">
        <f t="shared" si="57"/>
        <v>-220</v>
      </c>
      <c r="J80" s="3">
        <f t="shared" si="58"/>
        <v>-480</v>
      </c>
      <c r="K80" s="3">
        <f t="shared" si="51"/>
        <v>78.690067525979785</v>
      </c>
      <c r="L80" s="3">
        <f t="shared" si="52"/>
        <v>-11.309932474020215</v>
      </c>
      <c r="M80" s="3"/>
    </row>
    <row r="81" spans="1:14" x14ac:dyDescent="0.3">
      <c r="A81" s="1">
        <v>10</v>
      </c>
      <c r="B81" s="3">
        <v>-150</v>
      </c>
      <c r="C81" s="3">
        <v>120</v>
      </c>
      <c r="D81" s="3">
        <v>80</v>
      </c>
      <c r="E81" s="3">
        <f t="shared" si="53"/>
        <v>0.26747753689304821</v>
      </c>
      <c r="F81" s="3">
        <f t="shared" si="54"/>
        <v>15.325333978526434</v>
      </c>
      <c r="G81" s="3">
        <f t="shared" si="55"/>
        <v>-15</v>
      </c>
      <c r="H81" s="3">
        <f t="shared" si="56"/>
        <v>156.92354826475216</v>
      </c>
      <c r="I81" s="3">
        <f t="shared" si="57"/>
        <v>141.92354826475216</v>
      </c>
      <c r="J81" s="3">
        <f t="shared" si="58"/>
        <v>-171.92354826475216</v>
      </c>
      <c r="K81" s="3">
        <f t="shared" si="51"/>
        <v>60.32533397852643</v>
      </c>
      <c r="L81" s="3">
        <f t="shared" si="52"/>
        <v>-29.67466602147357</v>
      </c>
      <c r="M81" s="3"/>
    </row>
    <row r="82" spans="1:14" x14ac:dyDescent="0.3">
      <c r="A82" s="1">
        <v>11</v>
      </c>
      <c r="B82" s="3">
        <v>265</v>
      </c>
      <c r="C82" s="3">
        <v>128</v>
      </c>
      <c r="D82" s="3">
        <v>95</v>
      </c>
      <c r="E82" s="3">
        <f t="shared" si="53"/>
        <v>-0.47304018463635611</v>
      </c>
      <c r="F82" s="3">
        <f t="shared" si="54"/>
        <v>-27.103206119752414</v>
      </c>
      <c r="G82" s="3">
        <f t="shared" si="55"/>
        <v>196.5</v>
      </c>
      <c r="H82" s="3">
        <f t="shared" si="56"/>
        <v>117.1206642740725</v>
      </c>
      <c r="I82" s="3">
        <f t="shared" si="57"/>
        <v>313.62066427407251</v>
      </c>
      <c r="J82" s="3">
        <f t="shared" si="58"/>
        <v>79.379335725927504</v>
      </c>
      <c r="K82" s="3">
        <f t="shared" si="51"/>
        <v>17.896793880247586</v>
      </c>
      <c r="L82" s="3">
        <f t="shared" si="52"/>
        <v>-72.103206119752414</v>
      </c>
      <c r="M82" s="3"/>
    </row>
    <row r="83" spans="1:14" x14ac:dyDescent="0.3">
      <c r="A83" s="1">
        <v>12</v>
      </c>
      <c r="B83" s="3">
        <v>132</v>
      </c>
      <c r="C83" s="3">
        <v>-387</v>
      </c>
      <c r="D83" s="3">
        <v>-765</v>
      </c>
      <c r="E83" s="3">
        <f t="shared" si="53"/>
        <v>0.62188051502639119</v>
      </c>
      <c r="F83" s="3">
        <f t="shared" si="54"/>
        <v>35.631128872434189</v>
      </c>
      <c r="G83" s="3">
        <f t="shared" si="55"/>
        <v>-127.5</v>
      </c>
      <c r="H83" s="3">
        <f t="shared" si="56"/>
        <v>807.81510879656116</v>
      </c>
      <c r="I83" s="3">
        <f t="shared" si="57"/>
        <v>680.31510879656116</v>
      </c>
      <c r="J83" s="3">
        <f t="shared" si="58"/>
        <v>-935.31510879656116</v>
      </c>
      <c r="K83" s="3">
        <f t="shared" si="51"/>
        <v>80.631128872434189</v>
      </c>
      <c r="L83" s="3">
        <f t="shared" si="52"/>
        <v>-9.3688711275658108</v>
      </c>
      <c r="M83" s="3"/>
    </row>
    <row r="84" spans="1:14" x14ac:dyDescent="0.3">
      <c r="A84" s="1">
        <v>13</v>
      </c>
      <c r="B84" s="3">
        <f>K64</f>
        <v>48.611111111111107</v>
      </c>
      <c r="C84" s="3">
        <v>0</v>
      </c>
      <c r="D84" s="3">
        <f>I64</f>
        <v>14.178240740740742</v>
      </c>
      <c r="E84" s="3">
        <f t="shared" ref="E84" si="59">ATAN(-2*D84/(B84-C84))/2</f>
        <v>-0.26403722421317988</v>
      </c>
      <c r="F84" s="3">
        <f t="shared" ref="F84" si="60">E84*180/PI()</f>
        <v>-15.128218581764637</v>
      </c>
      <c r="G84" s="3">
        <f t="shared" ref="G84" si="61">(B84+C84)/2</f>
        <v>24.305555555555554</v>
      </c>
      <c r="H84" s="3">
        <f t="shared" ref="H84" si="62">SQRT((B84-C84)^2/4+D84^2)</f>
        <v>28.138630765668005</v>
      </c>
      <c r="I84" s="3">
        <f t="shared" ref="I84" si="63">G84+H84</f>
        <v>52.444186321223555</v>
      </c>
      <c r="J84" s="3">
        <f t="shared" ref="J84" si="64">G84-H84</f>
        <v>-3.833075210112451</v>
      </c>
      <c r="K84" s="3">
        <f t="shared" si="51"/>
        <v>29.871781418235365</v>
      </c>
      <c r="L84" s="3">
        <f t="shared" si="52"/>
        <v>-60.128218581764635</v>
      </c>
      <c r="M84" s="3"/>
    </row>
    <row r="85" spans="1:14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4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4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4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4" customFormat="1" x14ac:dyDescent="0.3">
      <c r="A89" t="s">
        <v>78</v>
      </c>
      <c r="B89" s="6" t="s">
        <v>79</v>
      </c>
      <c r="C89" s="7" t="s">
        <v>80</v>
      </c>
      <c r="D89" s="8" t="s">
        <v>58</v>
      </c>
      <c r="E89" s="8" t="s">
        <v>86</v>
      </c>
      <c r="F89" s="8" t="s">
        <v>87</v>
      </c>
      <c r="G89" s="9" t="s">
        <v>47</v>
      </c>
      <c r="H89" s="9" t="s">
        <v>81</v>
      </c>
      <c r="I89" s="9" t="s">
        <v>88</v>
      </c>
      <c r="K89" s="6" t="s">
        <v>82</v>
      </c>
      <c r="L89" s="6" t="s">
        <v>83</v>
      </c>
      <c r="M89" s="6" t="s">
        <v>84</v>
      </c>
      <c r="N89" s="6" t="s">
        <v>85</v>
      </c>
    </row>
    <row r="90" spans="1:14" customFormat="1" x14ac:dyDescent="0.3">
      <c r="A90">
        <v>300</v>
      </c>
      <c r="B90" s="10">
        <v>200</v>
      </c>
      <c r="C90" s="7">
        <f>A90/6</f>
        <v>50</v>
      </c>
      <c r="D90" s="8">
        <f>A90*B90</f>
        <v>60000</v>
      </c>
      <c r="E90" s="10">
        <f>A90^3*B90/12</f>
        <v>450000000</v>
      </c>
      <c r="F90" s="10">
        <f>A90^2*B90/6</f>
        <v>3000000</v>
      </c>
      <c r="G90" s="9">
        <v>300000</v>
      </c>
      <c r="H90" s="9">
        <v>100</v>
      </c>
      <c r="I90" s="9">
        <f>G90*H90</f>
        <v>30000000</v>
      </c>
      <c r="K90" s="6">
        <f>-G90/D90</f>
        <v>-5</v>
      </c>
      <c r="L90" s="6">
        <f>I90/F90</f>
        <v>10</v>
      </c>
      <c r="M90" s="6">
        <f>K90+L90</f>
        <v>5</v>
      </c>
      <c r="N90" s="6">
        <f>K90-L90</f>
        <v>-15</v>
      </c>
    </row>
    <row r="91" spans="1:14" customFormat="1" x14ac:dyDescent="0.3">
      <c r="A91">
        <v>500</v>
      </c>
      <c r="B91" s="10">
        <v>300</v>
      </c>
      <c r="C91" s="7">
        <f>A91/6</f>
        <v>83.333333333333329</v>
      </c>
      <c r="D91" s="8">
        <f>A91*B91</f>
        <v>150000</v>
      </c>
      <c r="E91" s="10">
        <f>A91^3*B91/12</f>
        <v>3125000000</v>
      </c>
      <c r="F91" s="10">
        <f>A91^2*B91/6</f>
        <v>12500000</v>
      </c>
      <c r="G91" s="9">
        <v>3253600</v>
      </c>
      <c r="H91" s="9">
        <v>47</v>
      </c>
      <c r="I91" s="9">
        <f>G91*H91</f>
        <v>152919200</v>
      </c>
      <c r="K91" s="6">
        <f>-G91/D91</f>
        <v>-21.690666666666665</v>
      </c>
      <c r="L91" s="6">
        <f>I91/F91</f>
        <v>12.233536000000001</v>
      </c>
      <c r="M91" s="6">
        <f>K91+L91</f>
        <v>-9.4571306666666644</v>
      </c>
      <c r="N91" s="6">
        <f>K91-L91</f>
        <v>-33.924202666666666</v>
      </c>
    </row>
    <row r="92" spans="1:14" customFormat="1" x14ac:dyDescent="0.3">
      <c r="B92" s="6"/>
      <c r="C92" s="7"/>
      <c r="D92" s="8">
        <v>4678</v>
      </c>
      <c r="E92" s="8"/>
      <c r="F92" s="8">
        <v>481000</v>
      </c>
      <c r="G92" s="8">
        <f>53.3*1000</f>
        <v>53300</v>
      </c>
      <c r="H92" s="8">
        <v>750.5</v>
      </c>
      <c r="I92" s="8">
        <f>G92*H92</f>
        <v>40001650</v>
      </c>
      <c r="K92" s="6">
        <f>-G92/D92</f>
        <v>-11.39375801624626</v>
      </c>
      <c r="L92" s="6">
        <f>I92/F92</f>
        <v>83.163513513513507</v>
      </c>
      <c r="M92" s="6">
        <f>K92+L92</f>
        <v>71.769755497267255</v>
      </c>
      <c r="N92" s="6">
        <f>K92-L92</f>
        <v>-94.55727152975976</v>
      </c>
    </row>
    <row r="93" spans="1:14" customFormat="1" x14ac:dyDescent="0.3">
      <c r="A93">
        <v>300</v>
      </c>
      <c r="B93" s="10">
        <v>250</v>
      </c>
      <c r="C93" s="7">
        <f>A93/6</f>
        <v>50</v>
      </c>
      <c r="D93" s="8">
        <f>A93*B93</f>
        <v>75000</v>
      </c>
      <c r="E93" s="10">
        <f>A93^3*B93/12</f>
        <v>562500000</v>
      </c>
      <c r="F93" s="10">
        <f>A93^2*B93/6</f>
        <v>3750000</v>
      </c>
      <c r="G93" s="9">
        <v>925600</v>
      </c>
      <c r="H93" s="9">
        <v>40</v>
      </c>
      <c r="I93" s="9">
        <f>G93*H93</f>
        <v>37024000</v>
      </c>
      <c r="K93" s="6">
        <f>-G93/D93</f>
        <v>-12.341333333333333</v>
      </c>
      <c r="L93" s="6">
        <f>I93/F93</f>
        <v>9.8730666666666664</v>
      </c>
      <c r="M93" s="6">
        <f>K93+L93</f>
        <v>-2.4682666666666666</v>
      </c>
      <c r="N93" s="6">
        <f>K93-L93</f>
        <v>-22.214399999999998</v>
      </c>
    </row>
    <row r="94" spans="1:14" customFormat="1" x14ac:dyDescent="0.3">
      <c r="A94">
        <v>488</v>
      </c>
      <c r="B94" s="10">
        <v>320</v>
      </c>
      <c r="C94" s="7">
        <f>A94/6</f>
        <v>81.333333333333329</v>
      </c>
      <c r="D94" s="8">
        <f>A94*B94</f>
        <v>156160</v>
      </c>
      <c r="E94" s="10">
        <f>A94^3*B94/12</f>
        <v>3099047253.3333335</v>
      </c>
      <c r="F94" s="10">
        <f>A94^2*B94/6</f>
        <v>12701013.333333334</v>
      </c>
      <c r="G94" s="9">
        <v>5213400</v>
      </c>
      <c r="H94" s="9">
        <v>180</v>
      </c>
      <c r="I94" s="9">
        <f>G94*H94</f>
        <v>938412000</v>
      </c>
      <c r="K94" s="6">
        <f>-G94/D94</f>
        <v>-33.384989754098363</v>
      </c>
      <c r="L94" s="6">
        <f>I94/F94</f>
        <v>73.884813390217687</v>
      </c>
      <c r="M94" s="6">
        <f>K94+L94</f>
        <v>40.499823636119324</v>
      </c>
      <c r="N94" s="6">
        <f>K94-L94</f>
        <v>-107.26980314431606</v>
      </c>
    </row>
    <row r="95" spans="1:14" customFormat="1" x14ac:dyDescent="0.3">
      <c r="A95">
        <v>480</v>
      </c>
      <c r="B95" s="10">
        <v>300</v>
      </c>
      <c r="C95" s="7">
        <f>A95/6</f>
        <v>80</v>
      </c>
      <c r="D95" s="8">
        <f>A95*B95</f>
        <v>144000</v>
      </c>
      <c r="E95" s="10">
        <f>A95^3*B95/12</f>
        <v>2764800000</v>
      </c>
      <c r="F95" s="10">
        <f>A95^2*B95/6</f>
        <v>11520000</v>
      </c>
      <c r="G95" s="9">
        <v>5000000</v>
      </c>
      <c r="H95" s="9">
        <v>0</v>
      </c>
      <c r="I95" s="9">
        <f>G95*H95</f>
        <v>0</v>
      </c>
      <c r="K95" s="6">
        <f>-G95/D95</f>
        <v>-34.722222222222221</v>
      </c>
      <c r="L95" s="6">
        <f>I95/F95</f>
        <v>0</v>
      </c>
      <c r="M95" s="6">
        <f>K95+L95</f>
        <v>-34.722222222222221</v>
      </c>
      <c r="N95" s="6">
        <f>K95-L95</f>
        <v>-34.722222222222221</v>
      </c>
    </row>
    <row r="96" spans="1:14" customFormat="1" x14ac:dyDescent="0.3">
      <c r="A96">
        <v>480</v>
      </c>
      <c r="B96" s="10">
        <v>300</v>
      </c>
      <c r="C96" s="7">
        <f>A96/6</f>
        <v>80</v>
      </c>
      <c r="D96" s="8">
        <f>A96*B96</f>
        <v>144000</v>
      </c>
      <c r="E96" s="10">
        <f>A96^3*B96/12</f>
        <v>2764800000</v>
      </c>
      <c r="F96" s="10">
        <f>A96^2*B96/6</f>
        <v>11520000</v>
      </c>
      <c r="G96" s="9">
        <v>5000000</v>
      </c>
      <c r="H96" s="9">
        <v>40</v>
      </c>
      <c r="I96" s="9">
        <f>G96*H96</f>
        <v>200000000</v>
      </c>
      <c r="K96" s="6">
        <f>-G96/D96</f>
        <v>-34.722222222222221</v>
      </c>
      <c r="L96" s="6">
        <f>I96/F96</f>
        <v>17.361111111111111</v>
      </c>
      <c r="M96" s="6">
        <f>K96+L96</f>
        <v>-17.361111111111111</v>
      </c>
      <c r="N96" s="6">
        <f>K96-L96</f>
        <v>-52.083333333333329</v>
      </c>
    </row>
    <row r="97" spans="1:14" customFormat="1" x14ac:dyDescent="0.3">
      <c r="A97">
        <v>480</v>
      </c>
      <c r="B97" s="10">
        <v>300</v>
      </c>
      <c r="C97" s="7">
        <f>A97/6</f>
        <v>80</v>
      </c>
      <c r="D97" s="8">
        <f>A97*B97</f>
        <v>144000</v>
      </c>
      <c r="E97" s="10">
        <f>A97^3*B97/12</f>
        <v>2764800000</v>
      </c>
      <c r="F97" s="10">
        <f>A97^2*B97/6</f>
        <v>11520000</v>
      </c>
      <c r="G97" s="9">
        <v>5000000</v>
      </c>
      <c r="H97" s="9">
        <v>80</v>
      </c>
      <c r="I97" s="9">
        <f>G97*H97</f>
        <v>400000000</v>
      </c>
      <c r="K97" s="6">
        <f>-G97/D97</f>
        <v>-34.722222222222221</v>
      </c>
      <c r="L97" s="6">
        <f>I97/F97</f>
        <v>34.722222222222221</v>
      </c>
      <c r="M97" s="6">
        <f>K97+L97</f>
        <v>0</v>
      </c>
      <c r="N97" s="6">
        <f>K97-L97</f>
        <v>-69.444444444444443</v>
      </c>
    </row>
    <row r="98" spans="1:14" customFormat="1" x14ac:dyDescent="0.3">
      <c r="A98">
        <v>480</v>
      </c>
      <c r="B98" s="10">
        <v>300</v>
      </c>
      <c r="C98" s="7">
        <f>A98/6</f>
        <v>80</v>
      </c>
      <c r="D98" s="8">
        <f>A98*B98</f>
        <v>144000</v>
      </c>
      <c r="E98" s="10">
        <f>A98^3*B98/12</f>
        <v>2764800000</v>
      </c>
      <c r="F98" s="10">
        <f>A98^2*B98/6</f>
        <v>11520000</v>
      </c>
      <c r="G98" s="9">
        <v>5000000</v>
      </c>
      <c r="H98" s="9">
        <v>120</v>
      </c>
      <c r="I98" s="9">
        <f>G98*H98</f>
        <v>600000000</v>
      </c>
      <c r="K98" s="6">
        <f>-G98/D98</f>
        <v>-34.722222222222221</v>
      </c>
      <c r="L98" s="6">
        <f>I98/F98</f>
        <v>52.083333333333336</v>
      </c>
      <c r="M98" s="6">
        <f>K98+L98</f>
        <v>17.361111111111114</v>
      </c>
      <c r="N98" s="6">
        <f>K98-L98</f>
        <v>-86.805555555555557</v>
      </c>
    </row>
    <row r="99" spans="1:14" customFormat="1" x14ac:dyDescent="0.3">
      <c r="B99" s="10"/>
      <c r="C99" s="7"/>
      <c r="D99" s="8"/>
      <c r="E99" s="10"/>
      <c r="F99" s="10"/>
      <c r="G99" s="9"/>
      <c r="H99" s="9"/>
      <c r="I99" s="9"/>
      <c r="K99" s="6"/>
      <c r="L99" s="6"/>
      <c r="M99" s="6"/>
      <c r="N99" s="6"/>
    </row>
    <row r="100" spans="1:14" customFormat="1" x14ac:dyDescent="0.3">
      <c r="B100" s="10"/>
      <c r="C100" s="7"/>
      <c r="D100" s="8"/>
      <c r="E100" s="10"/>
      <c r="F100" s="10"/>
      <c r="G100" s="9"/>
      <c r="H100" s="9"/>
      <c r="I100" s="9"/>
      <c r="K100" s="6"/>
      <c r="L100" s="6"/>
      <c r="M100" s="6"/>
      <c r="N100" s="6"/>
    </row>
    <row r="101" spans="1:14" customFormat="1" x14ac:dyDescent="0.3">
      <c r="B101" s="10"/>
      <c r="C101" s="7"/>
      <c r="D101" s="8"/>
      <c r="E101" s="10"/>
      <c r="F101" s="10"/>
      <c r="G101" s="9"/>
      <c r="H101" s="9"/>
      <c r="I101" s="9"/>
      <c r="K101" s="6"/>
      <c r="L101" s="6"/>
      <c r="M101" s="6"/>
      <c r="N101" s="6"/>
    </row>
    <row r="103" spans="1:14" x14ac:dyDescent="0.3">
      <c r="B103" s="2" t="s">
        <v>43</v>
      </c>
      <c r="C103" s="2" t="s">
        <v>44</v>
      </c>
      <c r="D103" s="2" t="s">
        <v>45</v>
      </c>
      <c r="E103" s="2" t="s">
        <v>46</v>
      </c>
      <c r="F103" s="2" t="s">
        <v>53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54</v>
      </c>
      <c r="L103" s="2" t="s">
        <v>51</v>
      </c>
      <c r="M103" s="2" t="s">
        <v>52</v>
      </c>
    </row>
    <row r="104" spans="1:14" x14ac:dyDescent="0.3">
      <c r="A104" s="1" t="s">
        <v>55</v>
      </c>
      <c r="B104" s="2">
        <v>2000</v>
      </c>
      <c r="C104" s="2">
        <v>50</v>
      </c>
      <c r="D104" s="2">
        <v>30</v>
      </c>
      <c r="E104" s="2">
        <v>0.3</v>
      </c>
      <c r="F104" s="2">
        <f>PI()*(D104/2)^2</f>
        <v>706.85834705770344</v>
      </c>
      <c r="G104" s="2">
        <f>3600*1000</f>
        <v>3600000</v>
      </c>
      <c r="H104" s="2">
        <f>G104/F104</f>
        <v>5092.9581789406511</v>
      </c>
      <c r="I104" s="2">
        <f>C104/B104</f>
        <v>2.5000000000000001E-2</v>
      </c>
      <c r="J104" s="2">
        <f>H104/I104</f>
        <v>203718.32715762604</v>
      </c>
      <c r="K104" s="2">
        <f>E104/D104</f>
        <v>0.01</v>
      </c>
      <c r="L104" s="2">
        <f>K104/I104</f>
        <v>0.39999999999999997</v>
      </c>
      <c r="M104" s="2">
        <f>J104/(2*(1+L104))</f>
        <v>72756.545413437882</v>
      </c>
    </row>
    <row r="107" spans="1:14" x14ac:dyDescent="0.3">
      <c r="B107" s="2" t="s">
        <v>57</v>
      </c>
      <c r="C107" s="2" t="s">
        <v>58</v>
      </c>
      <c r="D107" s="2" t="s">
        <v>61</v>
      </c>
      <c r="E107" s="2" t="s">
        <v>59</v>
      </c>
      <c r="F107" s="2" t="s">
        <v>56</v>
      </c>
      <c r="G107" s="2" t="s">
        <v>60</v>
      </c>
    </row>
    <row r="108" spans="1:14" x14ac:dyDescent="0.3">
      <c r="A108" s="1" t="s">
        <v>55</v>
      </c>
      <c r="B108" s="2">
        <v>50</v>
      </c>
      <c r="C108" s="2">
        <f>PI()*(B108/2)^2</f>
        <v>1963.4954084936207</v>
      </c>
      <c r="D108" s="2">
        <v>205000</v>
      </c>
      <c r="E108" s="2">
        <f>390*1000</f>
        <v>390000</v>
      </c>
      <c r="F108" s="2">
        <v>1300</v>
      </c>
      <c r="G108" s="2">
        <f>E108*F108/C108/D108</f>
        <v>1.2595755105965414</v>
      </c>
    </row>
    <row r="109" spans="1:14" x14ac:dyDescent="0.3">
      <c r="A109" s="1" t="s">
        <v>55</v>
      </c>
      <c r="C109" s="2">
        <v>1000</v>
      </c>
      <c r="D109" s="2">
        <v>200000</v>
      </c>
      <c r="E109" s="2">
        <f>200*1000</f>
        <v>200000</v>
      </c>
      <c r="F109" s="2">
        <v>1000</v>
      </c>
      <c r="G109" s="2">
        <f>E109*F109/C109/D109</f>
        <v>1</v>
      </c>
    </row>
    <row r="110" spans="1:14" x14ac:dyDescent="0.3">
      <c r="C110" s="2">
        <v>2000</v>
      </c>
      <c r="D110" s="2">
        <v>27000</v>
      </c>
      <c r="E110" s="2">
        <f>250*1000</f>
        <v>250000</v>
      </c>
      <c r="F110" s="2">
        <v>2000</v>
      </c>
      <c r="G110" s="2">
        <f>E110*F110/C110/D110</f>
        <v>9.2592592592592595</v>
      </c>
    </row>
    <row r="111" spans="1:14" x14ac:dyDescent="0.3">
      <c r="B111" s="2">
        <v>500</v>
      </c>
      <c r="C111" s="2">
        <f>B111^2</f>
        <v>250000</v>
      </c>
      <c r="D111" s="2">
        <v>28500</v>
      </c>
      <c r="E111" s="2">
        <f>7800*1000</f>
        <v>7800000</v>
      </c>
      <c r="F111" s="2">
        <v>2400</v>
      </c>
      <c r="G111" s="2">
        <f>E111*F111/C111/D111</f>
        <v>2.6273684210526316</v>
      </c>
      <c r="I111" s="2">
        <f>ATAN(0.2)*180/PI()/2</f>
        <v>5.6549662370101066</v>
      </c>
    </row>
    <row r="112" spans="1:14" x14ac:dyDescent="0.3">
      <c r="B112" s="2">
        <v>550</v>
      </c>
      <c r="C112" s="2">
        <f>B112^2</f>
        <v>302500</v>
      </c>
      <c r="D112" s="2">
        <v>28500</v>
      </c>
      <c r="E112" s="2">
        <f>7800*1000</f>
        <v>7800000</v>
      </c>
      <c r="F112" s="2">
        <v>2400</v>
      </c>
      <c r="G112" s="2">
        <f>E112*F112/C112/D112</f>
        <v>2.1713788603740758</v>
      </c>
    </row>
    <row r="113" spans="2:7" x14ac:dyDescent="0.3">
      <c r="B113" s="2">
        <f>SQRT(C113)</f>
        <v>452.0224821005304</v>
      </c>
      <c r="C113" s="2">
        <f>E113*F113/D113/G113</f>
        <v>204324.32432432432</v>
      </c>
      <c r="D113" s="2">
        <v>37000</v>
      </c>
      <c r="E113" s="2">
        <f>3600*1000</f>
        <v>3600000</v>
      </c>
      <c r="F113" s="2">
        <v>2100</v>
      </c>
      <c r="G113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knuser</cp:lastModifiedBy>
  <dcterms:created xsi:type="dcterms:W3CDTF">2017-02-26T08:00:02Z</dcterms:created>
  <dcterms:modified xsi:type="dcterms:W3CDTF">2019-04-16T16:11:27Z</dcterms:modified>
</cp:coreProperties>
</file>