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경남대학교\GitHub\structural_mechanics_II\"/>
    </mc:Choice>
  </mc:AlternateContent>
  <bookViews>
    <workbookView xWindow="0" yWindow="0" windowWidth="2157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F49" i="1"/>
  <c r="K49" i="1" s="1"/>
  <c r="L49" i="1" s="1"/>
  <c r="M49" i="1" s="1"/>
  <c r="H49" i="1"/>
  <c r="G49" i="1"/>
  <c r="J49" i="1" s="1"/>
  <c r="D49" i="1"/>
  <c r="B49" i="1"/>
  <c r="D39" i="1"/>
  <c r="E39" i="1" s="1"/>
  <c r="G39" i="1" s="1"/>
  <c r="F39" i="1"/>
  <c r="H39" i="1"/>
  <c r="J38" i="1"/>
  <c r="H38" i="1"/>
  <c r="E38" i="1"/>
  <c r="H37" i="1"/>
  <c r="E37" i="1"/>
  <c r="G37" i="1" s="1"/>
  <c r="J36" i="1"/>
  <c r="H35" i="1"/>
  <c r="H36" i="1"/>
  <c r="E36" i="1"/>
  <c r="E35" i="1"/>
  <c r="G35" i="1"/>
  <c r="I16" i="1"/>
  <c r="F16" i="1"/>
  <c r="E16" i="1"/>
  <c r="D16" i="1"/>
  <c r="N16" i="1" s="1"/>
  <c r="J32" i="1"/>
  <c r="J33" i="1"/>
  <c r="J31" i="1"/>
  <c r="F33" i="1"/>
  <c r="C33" i="1"/>
  <c r="B33" i="1"/>
  <c r="D34" i="1"/>
  <c r="E34" i="1" s="1"/>
  <c r="G34" i="1" s="1"/>
  <c r="F34" i="1"/>
  <c r="H34" i="1"/>
  <c r="I49" i="1" l="1"/>
  <c r="I37" i="1"/>
  <c r="I35" i="1"/>
  <c r="I39" i="1"/>
  <c r="K39" i="1"/>
  <c r="K38" i="1"/>
  <c r="K36" i="1"/>
  <c r="K16" i="1"/>
  <c r="L16" i="1"/>
  <c r="O16" i="1" s="1"/>
  <c r="J16" i="1"/>
  <c r="E33" i="1"/>
  <c r="H33" i="1"/>
  <c r="K33" i="1" s="1"/>
  <c r="I34" i="1"/>
  <c r="E48" i="1"/>
  <c r="F48" i="1" s="1"/>
  <c r="K48" i="1" s="1"/>
  <c r="L48" i="1" s="1"/>
  <c r="H48" i="1"/>
  <c r="G48" i="1"/>
  <c r="H47" i="1"/>
  <c r="G47" i="1"/>
  <c r="E47" i="1"/>
  <c r="F47" i="1" s="1"/>
  <c r="K47" i="1" s="1"/>
  <c r="L47" i="1" s="1"/>
  <c r="I48" i="1" l="1"/>
  <c r="M16" i="1"/>
  <c r="G33" i="1"/>
  <c r="I33" i="1" s="1"/>
  <c r="J48" i="1"/>
  <c r="J47" i="1"/>
  <c r="I47" i="1"/>
  <c r="H46" i="1"/>
  <c r="G46" i="1"/>
  <c r="E46" i="1"/>
  <c r="F46" i="1" s="1"/>
  <c r="K46" i="1" s="1"/>
  <c r="L46" i="1" s="1"/>
  <c r="J45" i="1"/>
  <c r="H45" i="1"/>
  <c r="G45" i="1"/>
  <c r="I45" i="1" s="1"/>
  <c r="E45" i="1"/>
  <c r="F45" i="1" s="1"/>
  <c r="K45" i="1" s="1"/>
  <c r="L45" i="1" s="1"/>
  <c r="H44" i="1"/>
  <c r="G44" i="1"/>
  <c r="E44" i="1"/>
  <c r="F44" i="1" s="1"/>
  <c r="K44" i="1" s="1"/>
  <c r="L44" i="1" s="1"/>
  <c r="H43" i="1"/>
  <c r="G43" i="1"/>
  <c r="I43" i="1" s="1"/>
  <c r="E43" i="1"/>
  <c r="F43" i="1" s="1"/>
  <c r="K43" i="1" s="1"/>
  <c r="L43" i="1" s="1"/>
  <c r="J44" i="1" l="1"/>
  <c r="J43" i="1"/>
  <c r="I44" i="1"/>
  <c r="J46" i="1"/>
  <c r="I46" i="1"/>
  <c r="B31" i="1"/>
  <c r="C31" i="1"/>
  <c r="E31" i="1" s="1"/>
  <c r="D31" i="1"/>
  <c r="F31" i="1"/>
  <c r="C32" i="1"/>
  <c r="D32" i="1" s="1"/>
  <c r="B32" i="1"/>
  <c r="F32" i="1"/>
  <c r="G15" i="1"/>
  <c r="E15" i="1"/>
  <c r="F14" i="1"/>
  <c r="E14" i="1"/>
  <c r="D14" i="1"/>
  <c r="N14" i="1" s="1"/>
  <c r="J14" i="1" l="1"/>
  <c r="K14" i="1"/>
  <c r="L14" i="1"/>
  <c r="O14" i="1" s="1"/>
  <c r="I14" i="1"/>
  <c r="E32" i="1"/>
  <c r="G31" i="1"/>
  <c r="H32" i="1"/>
  <c r="K32" i="1" s="1"/>
  <c r="G32" i="1"/>
  <c r="H31" i="1"/>
  <c r="K31" i="1" s="1"/>
  <c r="K13" i="1"/>
  <c r="P13" i="1" s="1"/>
  <c r="F13" i="1"/>
  <c r="E13" i="1"/>
  <c r="D13" i="1"/>
  <c r="N13" i="1" s="1"/>
  <c r="D25" i="1" s="1"/>
  <c r="H24" i="1"/>
  <c r="G24" i="1"/>
  <c r="E24" i="1"/>
  <c r="F24" i="1" s="1"/>
  <c r="E22" i="1"/>
  <c r="F22" i="1" s="1"/>
  <c r="E23" i="1"/>
  <c r="F23" i="1" s="1"/>
  <c r="H23" i="1"/>
  <c r="G23" i="1"/>
  <c r="H22" i="1"/>
  <c r="G22" i="1"/>
  <c r="J22" i="1" s="1"/>
  <c r="K6" i="1"/>
  <c r="L6" i="1"/>
  <c r="N6" i="1"/>
  <c r="F11" i="1"/>
  <c r="E11" i="1"/>
  <c r="F10" i="1"/>
  <c r="E10" i="1"/>
  <c r="D11" i="1"/>
  <c r="D10" i="1"/>
  <c r="D12" i="1" s="1"/>
  <c r="F8" i="1"/>
  <c r="E8" i="1"/>
  <c r="D8" i="1"/>
  <c r="N8" i="1" s="1"/>
  <c r="F7" i="1"/>
  <c r="E7" i="1"/>
  <c r="D7" i="1"/>
  <c r="K7" i="1" s="1"/>
  <c r="F5" i="1"/>
  <c r="E5" i="1"/>
  <c r="D5" i="1"/>
  <c r="K5" i="1" s="1"/>
  <c r="F4" i="1"/>
  <c r="E4" i="1"/>
  <c r="D4" i="1"/>
  <c r="K4" i="1" s="1"/>
  <c r="P4" i="1" s="1"/>
  <c r="F3" i="1"/>
  <c r="E3" i="1"/>
  <c r="D3" i="1"/>
  <c r="K3" i="1" s="1"/>
  <c r="F2" i="1"/>
  <c r="E2" i="1"/>
  <c r="D2" i="1"/>
  <c r="N2" i="1" s="1"/>
  <c r="M14" i="1" l="1"/>
  <c r="I7" i="1"/>
  <c r="N5" i="1"/>
  <c r="N3" i="1"/>
  <c r="B25" i="1"/>
  <c r="L3" i="1"/>
  <c r="O3" i="1" s="1"/>
  <c r="M6" i="1"/>
  <c r="I32" i="1"/>
  <c r="I31" i="1"/>
  <c r="P5" i="1"/>
  <c r="L8" i="1"/>
  <c r="O8" i="1" s="1"/>
  <c r="K8" i="1"/>
  <c r="N7" i="1"/>
  <c r="L5" i="1"/>
  <c r="O5" i="1" s="1"/>
  <c r="I22" i="1"/>
  <c r="I24" i="1"/>
  <c r="I8" i="1"/>
  <c r="L7" i="1"/>
  <c r="O7" i="1" s="1"/>
  <c r="J7" i="1"/>
  <c r="K2" i="1"/>
  <c r="P2" i="1" s="1"/>
  <c r="N4" i="1"/>
  <c r="J8" i="1"/>
  <c r="L2" i="1"/>
  <c r="O2" i="1" s="1"/>
  <c r="L4" i="1"/>
  <c r="O4" i="1" s="1"/>
  <c r="D9" i="1"/>
  <c r="I13" i="1"/>
  <c r="J13" i="1"/>
  <c r="L13" i="1"/>
  <c r="J24" i="1"/>
  <c r="J23" i="1"/>
  <c r="I23" i="1"/>
  <c r="P7" i="1"/>
  <c r="P3" i="1"/>
  <c r="J5" i="1"/>
  <c r="I5" i="1"/>
  <c r="J2" i="1"/>
  <c r="J4" i="1"/>
  <c r="I2" i="1"/>
  <c r="I4" i="1"/>
  <c r="J3" i="1"/>
  <c r="I3" i="1"/>
  <c r="M3" i="1" l="1"/>
  <c r="O13" i="1"/>
  <c r="C25" i="1"/>
  <c r="E25" i="1" s="1"/>
  <c r="F25" i="1" s="1"/>
  <c r="M4" i="1"/>
  <c r="M7" i="1"/>
  <c r="P8" i="1"/>
  <c r="M8" i="1"/>
  <c r="E9" i="1"/>
  <c r="M5" i="1"/>
  <c r="F9" i="1"/>
  <c r="M2" i="1"/>
  <c r="M13" i="1"/>
  <c r="G25" i="1" l="1"/>
  <c r="H25" i="1"/>
  <c r="J25" i="1" s="1"/>
  <c r="H11" i="1"/>
  <c r="K11" i="1" s="1"/>
  <c r="H10" i="1"/>
  <c r="K10" i="1" s="1"/>
  <c r="G11" i="1"/>
  <c r="G10" i="1"/>
  <c r="I25" i="1" l="1"/>
  <c r="P11" i="1"/>
  <c r="L10" i="1"/>
  <c r="M10" i="1" s="1"/>
  <c r="N10" i="1"/>
  <c r="L11" i="1"/>
  <c r="O11" i="1" s="1"/>
  <c r="N11" i="1"/>
  <c r="P10" i="1"/>
  <c r="K12" i="1"/>
  <c r="N12" i="1" l="1"/>
  <c r="O10" i="1"/>
  <c r="L12" i="1"/>
  <c r="O12" i="1" s="1"/>
  <c r="M11" i="1"/>
  <c r="P12" i="1"/>
  <c r="M12" i="1" l="1"/>
</calcChain>
</file>

<file path=xl/sharedStrings.xml><?xml version="1.0" encoding="utf-8"?>
<sst xmlns="http://schemas.openxmlformats.org/spreadsheetml/2006/main" count="49" uniqueCount="45">
  <si>
    <t>Ix</t>
    <phoneticPr fontId="2" type="noConversion"/>
  </si>
  <si>
    <t>Cx</t>
    <phoneticPr fontId="2" type="noConversion"/>
  </si>
  <si>
    <t>Cy</t>
    <phoneticPr fontId="2" type="noConversion"/>
  </si>
  <si>
    <t>Ix</t>
    <phoneticPr fontId="2" type="noConversion"/>
  </si>
  <si>
    <t>Iy</t>
    <phoneticPr fontId="2" type="noConversion"/>
  </si>
  <si>
    <t>Ixy</t>
    <phoneticPr fontId="2" type="noConversion"/>
  </si>
  <si>
    <t>Ip</t>
    <phoneticPr fontId="2" type="noConversion"/>
  </si>
  <si>
    <t>kx</t>
    <phoneticPr fontId="2" type="noConversion"/>
  </si>
  <si>
    <t>ky</t>
    <phoneticPr fontId="2" type="noConversion"/>
  </si>
  <si>
    <t>A</t>
    <phoneticPr fontId="2" type="noConversion"/>
  </si>
  <si>
    <t>b</t>
    <phoneticPr fontId="2" type="noConversion"/>
  </si>
  <si>
    <t>h</t>
    <phoneticPr fontId="2" type="noConversion"/>
  </si>
  <si>
    <t>ecc_x</t>
    <phoneticPr fontId="2" type="noConversion"/>
  </si>
  <si>
    <t>ecc_y</t>
    <phoneticPr fontId="2" type="noConversion"/>
  </si>
  <si>
    <t>G_x</t>
    <phoneticPr fontId="2" type="noConversion"/>
  </si>
  <si>
    <t>G_y</t>
    <phoneticPr fontId="2" type="noConversion"/>
  </si>
  <si>
    <t>sum</t>
    <phoneticPr fontId="2" type="noConversion"/>
  </si>
  <si>
    <t>5'</t>
    <phoneticPr fontId="2" type="noConversion"/>
  </si>
  <si>
    <t>6'</t>
    <phoneticPr fontId="2" type="noConversion"/>
  </si>
  <si>
    <t>sum</t>
    <phoneticPr fontId="2" type="noConversion"/>
  </si>
  <si>
    <t>Iy</t>
    <phoneticPr fontId="2" type="noConversion"/>
  </si>
  <si>
    <t>Ixy</t>
    <phoneticPr fontId="2" type="noConversion"/>
  </si>
  <si>
    <t>I_1</t>
    <phoneticPr fontId="2" type="noConversion"/>
  </si>
  <si>
    <t>I_2</t>
    <phoneticPr fontId="2" type="noConversion"/>
  </si>
  <si>
    <t>theta_p</t>
    <phoneticPr fontId="2" type="noConversion"/>
  </si>
  <si>
    <t>theta_p(degree)</t>
    <phoneticPr fontId="2" type="noConversion"/>
  </si>
  <si>
    <t>center</t>
    <phoneticPr fontId="2" type="noConversion"/>
  </si>
  <si>
    <t>radius</t>
    <phoneticPr fontId="2" type="noConversion"/>
  </si>
  <si>
    <t>b</t>
    <phoneticPr fontId="2" type="noConversion"/>
  </si>
  <si>
    <t>h</t>
    <phoneticPr fontId="2" type="noConversion"/>
  </si>
  <si>
    <t>y</t>
    <phoneticPr fontId="2" type="noConversion"/>
  </si>
  <si>
    <t>V</t>
    <phoneticPr fontId="2" type="noConversion"/>
  </si>
  <si>
    <t>G</t>
    <phoneticPr fontId="2" type="noConversion"/>
  </si>
  <si>
    <t>I</t>
    <phoneticPr fontId="2" type="noConversion"/>
  </si>
  <si>
    <t>h_total</t>
    <phoneticPr fontId="2" type="noConversion"/>
  </si>
  <si>
    <t>tau</t>
    <phoneticPr fontId="2" type="noConversion"/>
  </si>
  <si>
    <t>sigma_x</t>
    <phoneticPr fontId="2" type="noConversion"/>
  </si>
  <si>
    <t>sigma_y</t>
    <phoneticPr fontId="2" type="noConversion"/>
  </si>
  <si>
    <t>tau_xy</t>
    <phoneticPr fontId="2" type="noConversion"/>
  </si>
  <si>
    <t>sigma_1</t>
    <phoneticPr fontId="2" type="noConversion"/>
  </si>
  <si>
    <t>sigma_2</t>
    <phoneticPr fontId="2" type="noConversion"/>
  </si>
  <si>
    <t>theta_s(degree)+</t>
    <phoneticPr fontId="2" type="noConversion"/>
  </si>
  <si>
    <t>theta_s(degree)-</t>
    <phoneticPr fontId="2" type="noConversion"/>
  </si>
  <si>
    <t>sigma</t>
    <phoneticPr fontId="2" type="noConversion"/>
  </si>
  <si>
    <t>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</si>
</sst>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_-* #,##0.00000_-;\-* #,##0.00000_-;_-* &quot;-&quot;_-;_-@_-"/>
    <numFmt numFmtId="179" formatCode="_-* #,##0.000_-;\-* #,##0.000_-;_-* &quot;-&quot;_-;_-@_-"/>
    <numFmt numFmtId="180" formatCode="_-* #,##0.0000_-;\-* #,##0.00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41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18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22" workbookViewId="0">
      <selection activeCell="L49" sqref="L49"/>
    </sheetView>
  </sheetViews>
  <sheetFormatPr defaultRowHeight="16.5" x14ac:dyDescent="0.3"/>
  <cols>
    <col min="1" max="1" width="6.375" style="3" bestFit="1" customWidth="1"/>
    <col min="2" max="5" width="13.5" style="1" bestFit="1" customWidth="1"/>
    <col min="6" max="6" width="14.625" style="1" bestFit="1" customWidth="1"/>
    <col min="7" max="7" width="13.5" style="1" bestFit="1" customWidth="1"/>
    <col min="8" max="8" width="17.25" style="1" bestFit="1" customWidth="1"/>
    <col min="9" max="9" width="13.5" style="1" bestFit="1" customWidth="1"/>
    <col min="10" max="11" width="17.25" style="1" bestFit="1" customWidth="1"/>
    <col min="12" max="12" width="15.625" style="1" bestFit="1" customWidth="1"/>
    <col min="13" max="13" width="17.25" style="1" bestFit="1" customWidth="1"/>
    <col min="14" max="14" width="13.5" style="1" bestFit="1" customWidth="1"/>
    <col min="15" max="16384" width="9" style="1"/>
  </cols>
  <sheetData>
    <row r="1" spans="1:16" x14ac:dyDescent="0.3">
      <c r="B1" s="1" t="s">
        <v>10</v>
      </c>
      <c r="C1" s="1" t="s">
        <v>11</v>
      </c>
      <c r="D1" s="1" t="s">
        <v>9</v>
      </c>
      <c r="E1" s="1" t="s">
        <v>1</v>
      </c>
      <c r="F1" s="1" t="s">
        <v>2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</v>
      </c>
      <c r="L1" s="1" t="s">
        <v>4</v>
      </c>
      <c r="M1" s="1" t="s">
        <v>6</v>
      </c>
      <c r="N1" s="1" t="s">
        <v>5</v>
      </c>
      <c r="O1" s="1" t="s">
        <v>7</v>
      </c>
      <c r="P1" s="1" t="s">
        <v>8</v>
      </c>
    </row>
    <row r="2" spans="1:16" x14ac:dyDescent="0.3">
      <c r="A2" s="3">
        <v>1</v>
      </c>
      <c r="B2" s="1">
        <v>70</v>
      </c>
      <c r="C2" s="1">
        <v>120</v>
      </c>
      <c r="D2" s="1">
        <f>B2*C2</f>
        <v>8400</v>
      </c>
      <c r="E2" s="1">
        <f t="shared" ref="E2:F5" si="0">B2/2</f>
        <v>35</v>
      </c>
      <c r="F2" s="1">
        <f t="shared" si="0"/>
        <v>60</v>
      </c>
      <c r="G2" s="1">
        <v>0</v>
      </c>
      <c r="H2" s="1">
        <v>0</v>
      </c>
      <c r="I2" s="1">
        <f>D2*G2/D2</f>
        <v>0</v>
      </c>
      <c r="J2" s="1">
        <f>D2*H2/D2</f>
        <v>0</v>
      </c>
      <c r="K2" s="1">
        <f t="shared" ref="K2:K8" si="1">B2*C2^3/12+H2^2*D2</f>
        <v>10080000</v>
      </c>
      <c r="L2" s="1">
        <f t="shared" ref="L2:L8" si="2">C2*B2^3/12+G2^2*D2</f>
        <v>3430000</v>
      </c>
      <c r="M2" s="1">
        <f>SUM(K2:L2)</f>
        <v>13510000</v>
      </c>
      <c r="N2" s="1">
        <f t="shared" ref="N2:N8" si="3">D2*G2*H2</f>
        <v>0</v>
      </c>
      <c r="O2" s="1">
        <f>SQRT(L2/D2)</f>
        <v>20.207259421636902</v>
      </c>
      <c r="P2" s="1">
        <f>SQRT(K2/D2)</f>
        <v>34.641016151377549</v>
      </c>
    </row>
    <row r="3" spans="1:16" x14ac:dyDescent="0.3">
      <c r="A3" s="3">
        <v>2</v>
      </c>
      <c r="B3" s="1">
        <v>40</v>
      </c>
      <c r="C3" s="1">
        <v>70</v>
      </c>
      <c r="D3" s="1">
        <f>B3*C3</f>
        <v>2800</v>
      </c>
      <c r="E3" s="1">
        <f t="shared" si="0"/>
        <v>20</v>
      </c>
      <c r="F3" s="1">
        <f t="shared" si="0"/>
        <v>35</v>
      </c>
      <c r="G3" s="1">
        <v>0</v>
      </c>
      <c r="H3" s="1">
        <v>0</v>
      </c>
      <c r="I3" s="1">
        <f>D3*G3/D3</f>
        <v>0</v>
      </c>
      <c r="J3" s="1">
        <f>D3*H3/D3</f>
        <v>0</v>
      </c>
      <c r="K3" s="1">
        <f t="shared" si="1"/>
        <v>1143333.3333333333</v>
      </c>
      <c r="L3" s="1">
        <f t="shared" si="2"/>
        <v>373333.33333333331</v>
      </c>
      <c r="M3" s="1">
        <f t="shared" ref="M3:M8" si="4">SUM(K3:L3)</f>
        <v>1516666.6666666665</v>
      </c>
      <c r="N3" s="1">
        <f t="shared" si="3"/>
        <v>0</v>
      </c>
      <c r="O3" s="1">
        <f>SQRT(L3/D3)</f>
        <v>11.547005383792515</v>
      </c>
      <c r="P3" s="1">
        <f>SQRT(K3/D3)</f>
        <v>20.207259421636902</v>
      </c>
    </row>
    <row r="4" spans="1:16" x14ac:dyDescent="0.3">
      <c r="A4" s="3">
        <v>3</v>
      </c>
      <c r="B4" s="1">
        <v>40</v>
      </c>
      <c r="C4" s="1">
        <v>16</v>
      </c>
      <c r="D4" s="1">
        <f>B4*C4</f>
        <v>640</v>
      </c>
      <c r="E4" s="1">
        <f t="shared" si="0"/>
        <v>20</v>
      </c>
      <c r="F4" s="1">
        <f t="shared" si="0"/>
        <v>8</v>
      </c>
      <c r="G4" s="1">
        <v>-23</v>
      </c>
      <c r="H4" s="1">
        <v>18</v>
      </c>
      <c r="I4" s="1">
        <f>D4*G4/D4</f>
        <v>-23</v>
      </c>
      <c r="J4" s="1">
        <f>D4*H4/D4</f>
        <v>18</v>
      </c>
      <c r="K4" s="1">
        <f t="shared" si="1"/>
        <v>221013.33333333334</v>
      </c>
      <c r="L4" s="1">
        <f t="shared" si="2"/>
        <v>423893.33333333331</v>
      </c>
      <c r="M4" s="1">
        <f t="shared" si="4"/>
        <v>644906.66666666663</v>
      </c>
      <c r="N4" s="1">
        <f t="shared" si="3"/>
        <v>-264960</v>
      </c>
      <c r="O4" s="1">
        <f>SQRT(L4/D4)</f>
        <v>25.735837529276822</v>
      </c>
      <c r="P4" s="1">
        <f>SQRT(K4/D4)</f>
        <v>18.58314648635514</v>
      </c>
    </row>
    <row r="5" spans="1:16" x14ac:dyDescent="0.3">
      <c r="A5" s="3">
        <v>4</v>
      </c>
      <c r="B5" s="1">
        <v>30</v>
      </c>
      <c r="C5" s="1">
        <v>40</v>
      </c>
      <c r="D5" s="1">
        <f>B5*C5</f>
        <v>1200</v>
      </c>
      <c r="E5" s="1">
        <f t="shared" si="0"/>
        <v>15</v>
      </c>
      <c r="F5" s="1">
        <f t="shared" si="0"/>
        <v>20</v>
      </c>
      <c r="G5" s="1">
        <v>0</v>
      </c>
      <c r="H5" s="1">
        <v>0</v>
      </c>
      <c r="I5" s="1">
        <f>D5*G5/D5</f>
        <v>0</v>
      </c>
      <c r="J5" s="1">
        <f>D5*H5/D5</f>
        <v>0</v>
      </c>
      <c r="K5" s="1">
        <f t="shared" si="1"/>
        <v>160000</v>
      </c>
      <c r="L5" s="1">
        <f t="shared" si="2"/>
        <v>90000</v>
      </c>
      <c r="M5" s="1">
        <f t="shared" si="4"/>
        <v>250000</v>
      </c>
      <c r="N5" s="1">
        <f t="shared" si="3"/>
        <v>0</v>
      </c>
      <c r="O5" s="1">
        <f>SQRT(L5/D5)</f>
        <v>8.6602540378443873</v>
      </c>
      <c r="P5" s="1">
        <f>SQRT(K5/D5)</f>
        <v>11.547005383792516</v>
      </c>
    </row>
    <row r="6" spans="1:16" x14ac:dyDescent="0.3">
      <c r="K6" s="1">
        <f t="shared" si="1"/>
        <v>0</v>
      </c>
      <c r="L6" s="1">
        <f t="shared" si="2"/>
        <v>0</v>
      </c>
      <c r="M6" s="1">
        <f t="shared" si="4"/>
        <v>0</v>
      </c>
      <c r="N6" s="1">
        <f t="shared" si="3"/>
        <v>0</v>
      </c>
    </row>
    <row r="7" spans="1:16" x14ac:dyDescent="0.3">
      <c r="A7" s="3">
        <v>5</v>
      </c>
      <c r="B7" s="1">
        <v>25</v>
      </c>
      <c r="C7" s="1">
        <v>100</v>
      </c>
      <c r="D7" s="1">
        <f>B7*C7</f>
        <v>2500</v>
      </c>
      <c r="E7" s="1">
        <f>B7/2</f>
        <v>12.5</v>
      </c>
      <c r="F7" s="1">
        <f>C7/2</f>
        <v>50</v>
      </c>
      <c r="G7" s="1">
        <v>12.5</v>
      </c>
      <c r="H7" s="1">
        <v>75</v>
      </c>
      <c r="I7" s="1">
        <f>D7*H7</f>
        <v>187500</v>
      </c>
      <c r="J7" s="1">
        <f>D7*G7</f>
        <v>31250</v>
      </c>
      <c r="K7" s="1">
        <f t="shared" si="1"/>
        <v>16145833.333333334</v>
      </c>
      <c r="L7" s="1">
        <f t="shared" si="2"/>
        <v>520833.33333333331</v>
      </c>
      <c r="M7" s="1">
        <f t="shared" si="4"/>
        <v>16666666.666666668</v>
      </c>
      <c r="N7" s="1">
        <f t="shared" si="3"/>
        <v>2343750</v>
      </c>
      <c r="O7" s="1">
        <f>SQRT(L7/D7)</f>
        <v>14.433756729740644</v>
      </c>
      <c r="P7" s="1">
        <f>SQRT(K7/D7)</f>
        <v>80.363756341607967</v>
      </c>
    </row>
    <row r="8" spans="1:16" x14ac:dyDescent="0.3">
      <c r="A8" s="3">
        <v>6</v>
      </c>
      <c r="B8" s="1">
        <v>100</v>
      </c>
      <c r="C8" s="1">
        <v>25</v>
      </c>
      <c r="D8" s="1">
        <f>B8*C8</f>
        <v>2500</v>
      </c>
      <c r="E8" s="1">
        <f>B8/2</f>
        <v>50</v>
      </c>
      <c r="F8" s="1">
        <f>C8/2</f>
        <v>12.5</v>
      </c>
      <c r="G8" s="1">
        <v>50</v>
      </c>
      <c r="H8" s="1">
        <v>12.5</v>
      </c>
      <c r="I8" s="1">
        <f>D8*H8</f>
        <v>31250</v>
      </c>
      <c r="J8" s="1">
        <f>D8*G8</f>
        <v>125000</v>
      </c>
      <c r="K8" s="1">
        <f t="shared" si="1"/>
        <v>520833.33333333331</v>
      </c>
      <c r="L8" s="1">
        <f t="shared" si="2"/>
        <v>8333333.333333333</v>
      </c>
      <c r="M8" s="1">
        <f t="shared" si="4"/>
        <v>8854166.666666666</v>
      </c>
      <c r="N8" s="1">
        <f t="shared" si="3"/>
        <v>1562500</v>
      </c>
      <c r="O8" s="1">
        <f>SQRT(L8/D8)</f>
        <v>57.735026918962575</v>
      </c>
      <c r="P8" s="1">
        <f>SQRT(K8/D8)</f>
        <v>14.433756729740644</v>
      </c>
    </row>
    <row r="9" spans="1:16" x14ac:dyDescent="0.3">
      <c r="A9" s="3" t="s">
        <v>16</v>
      </c>
      <c r="D9" s="1">
        <f>SUM(D7:D8)</f>
        <v>5000</v>
      </c>
      <c r="E9" s="1">
        <f>SUM(J7:J8)/D9</f>
        <v>31.25</v>
      </c>
      <c r="F9" s="1">
        <f>SUM(I7:I8)/D9</f>
        <v>43.75</v>
      </c>
    </row>
    <row r="10" spans="1:16" x14ac:dyDescent="0.3">
      <c r="A10" s="3" t="s">
        <v>17</v>
      </c>
      <c r="B10" s="1">
        <v>25</v>
      </c>
      <c r="C10" s="1">
        <v>100</v>
      </c>
      <c r="D10" s="1">
        <f>B10*C10</f>
        <v>2500</v>
      </c>
      <c r="E10" s="1">
        <f>B10/2</f>
        <v>12.5</v>
      </c>
      <c r="F10" s="1">
        <f>C10/2</f>
        <v>50</v>
      </c>
      <c r="G10" s="1">
        <f>B10/2-E9</f>
        <v>-18.75</v>
      </c>
      <c r="H10" s="1">
        <f>C11+C10/2-F9</f>
        <v>31.25</v>
      </c>
      <c r="K10" s="1">
        <f>B10*C10^3/12+H10^2*D10</f>
        <v>4524739.583333333</v>
      </c>
      <c r="L10" s="1">
        <f>C10*B10^3/12+G10^2*D10</f>
        <v>1009114.5833333334</v>
      </c>
      <c r="M10" s="1">
        <f t="shared" ref="M10:M11" si="5">SUM(K10:L10)</f>
        <v>5533854.166666666</v>
      </c>
      <c r="N10" s="1">
        <f>D10*G10*H10</f>
        <v>-1464843.75</v>
      </c>
      <c r="O10" s="1">
        <f>SQRT(L10/D10)</f>
        <v>20.090939085401992</v>
      </c>
      <c r="P10" s="1">
        <f>SQRT(K10/D10)</f>
        <v>42.542870534712783</v>
      </c>
    </row>
    <row r="11" spans="1:16" x14ac:dyDescent="0.3">
      <c r="A11" s="3" t="s">
        <v>18</v>
      </c>
      <c r="B11" s="1">
        <v>100</v>
      </c>
      <c r="C11" s="1">
        <v>25</v>
      </c>
      <c r="D11" s="1">
        <f>B11*C11</f>
        <v>2500</v>
      </c>
      <c r="E11" s="1">
        <f>B11/2</f>
        <v>50</v>
      </c>
      <c r="F11" s="1">
        <f>C11/2</f>
        <v>12.5</v>
      </c>
      <c r="G11" s="1">
        <f>B11/2-E9</f>
        <v>18.75</v>
      </c>
      <c r="H11" s="1">
        <f>C11/2-F9</f>
        <v>-31.25</v>
      </c>
      <c r="K11" s="1">
        <f>B11*C11^3/12+H11^2*D11</f>
        <v>2571614.5833333335</v>
      </c>
      <c r="L11" s="1">
        <f>C11*B11^3/12+G11^2*D11</f>
        <v>2962239.583333333</v>
      </c>
      <c r="M11" s="1">
        <f t="shared" si="5"/>
        <v>5533854.166666666</v>
      </c>
      <c r="N11" s="1">
        <f>D11*G11*H11</f>
        <v>-1464843.75</v>
      </c>
      <c r="O11" s="1">
        <f>SQRT(L11/D11)</f>
        <v>34.422315920538139</v>
      </c>
      <c r="P11" s="1">
        <f>SQRT(K11/D11)</f>
        <v>32.072508996543029</v>
      </c>
    </row>
    <row r="12" spans="1:16" x14ac:dyDescent="0.3">
      <c r="A12" s="3" t="s">
        <v>19</v>
      </c>
      <c r="D12" s="1">
        <f>SUM(D10:D11)</f>
        <v>5000</v>
      </c>
      <c r="K12" s="1">
        <f t="shared" ref="K12:N12" si="6">SUM(K10:K11)</f>
        <v>7096354.166666666</v>
      </c>
      <c r="L12" s="1">
        <f t="shared" si="6"/>
        <v>3971354.1666666665</v>
      </c>
      <c r="M12" s="1">
        <f>SUM(K12:L12)</f>
        <v>11067708.333333332</v>
      </c>
      <c r="N12" s="1">
        <f t="shared" si="6"/>
        <v>-2929687.5</v>
      </c>
      <c r="O12" s="1">
        <f>SQRT(L12/D12)</f>
        <v>28.182810955143086</v>
      </c>
      <c r="P12" s="1">
        <f>SQRT(K12/D12)</f>
        <v>37.673211083385674</v>
      </c>
    </row>
    <row r="13" spans="1:16" x14ac:dyDescent="0.3">
      <c r="A13" s="3">
        <v>7</v>
      </c>
      <c r="B13" s="1">
        <v>30</v>
      </c>
      <c r="C13" s="1">
        <v>50</v>
      </c>
      <c r="D13" s="1">
        <f>B13*C13</f>
        <v>1500</v>
      </c>
      <c r="E13" s="1">
        <f>B13/2</f>
        <v>15</v>
      </c>
      <c r="F13" s="1">
        <f>C13/2</f>
        <v>25</v>
      </c>
      <c r="G13" s="1">
        <v>0</v>
      </c>
      <c r="H13" s="1">
        <v>0</v>
      </c>
      <c r="I13" s="1">
        <f>D13*G13/D13</f>
        <v>0</v>
      </c>
      <c r="J13" s="1">
        <f>D13*H13/D13</f>
        <v>0</v>
      </c>
      <c r="K13" s="1">
        <f>B13*C13^3/12+H13^2*D13</f>
        <v>312500</v>
      </c>
      <c r="L13" s="1">
        <f>C13*B13^3/12+G13^2*D13</f>
        <v>112500</v>
      </c>
      <c r="M13" s="1">
        <f t="shared" ref="M13" si="7">SUM(K13:L13)</f>
        <v>425000</v>
      </c>
      <c r="N13" s="1">
        <f>D13*G13*H13</f>
        <v>0</v>
      </c>
      <c r="O13" s="1">
        <f>SQRT(L13/D13)</f>
        <v>8.6602540378443873</v>
      </c>
      <c r="P13" s="1">
        <f>SQRT(K13/D13)</f>
        <v>14.433756729740644</v>
      </c>
    </row>
    <row r="14" spans="1:16" x14ac:dyDescent="0.3">
      <c r="A14" s="3">
        <v>8</v>
      </c>
      <c r="B14" s="1">
        <v>250</v>
      </c>
      <c r="C14" s="1">
        <v>500</v>
      </c>
      <c r="D14" s="1">
        <f>B14*C14</f>
        <v>125000</v>
      </c>
      <c r="E14" s="1">
        <f>B14/2</f>
        <v>125</v>
      </c>
      <c r="F14" s="1">
        <f>C14/2</f>
        <v>250</v>
      </c>
      <c r="G14" s="1">
        <v>0</v>
      </c>
      <c r="H14" s="1">
        <v>0</v>
      </c>
      <c r="I14" s="1">
        <f>D14*G14/D14</f>
        <v>0</v>
      </c>
      <c r="J14" s="1">
        <f>D14*H14/D14</f>
        <v>0</v>
      </c>
      <c r="K14" s="1">
        <f>B14*C14^3/12+H14^2*D14</f>
        <v>2604166666.6666665</v>
      </c>
      <c r="L14" s="1">
        <f>C14*B14^3/12+G14^2*D14</f>
        <v>651041666.66666663</v>
      </c>
      <c r="M14" s="1">
        <f t="shared" ref="M14" si="8">SUM(K14:L14)</f>
        <v>3255208333.333333</v>
      </c>
      <c r="N14" s="1">
        <f>D14*G14*H14</f>
        <v>0</v>
      </c>
      <c r="O14" s="1">
        <f>SQRT(L14/D14)</f>
        <v>72.168783648703211</v>
      </c>
    </row>
    <row r="15" spans="1:16" x14ac:dyDescent="0.3">
      <c r="E15" s="1">
        <f>250*50*(200+50/2)</f>
        <v>2812500</v>
      </c>
      <c r="G15" s="1">
        <f>250*250*(250/2)</f>
        <v>7812500</v>
      </c>
    </row>
    <row r="16" spans="1:16" x14ac:dyDescent="0.3">
      <c r="A16" s="3">
        <v>9</v>
      </c>
      <c r="B16" s="1">
        <v>400</v>
      </c>
      <c r="C16" s="1">
        <v>600</v>
      </c>
      <c r="D16" s="1">
        <f>B16*C16</f>
        <v>240000</v>
      </c>
      <c r="E16" s="1">
        <f>B16/2</f>
        <v>200</v>
      </c>
      <c r="F16" s="1">
        <f>C16/2</f>
        <v>300</v>
      </c>
      <c r="G16" s="1">
        <v>0</v>
      </c>
      <c r="H16" s="1">
        <v>0</v>
      </c>
      <c r="I16" s="1">
        <f>D16*G16/D16</f>
        <v>0</v>
      </c>
      <c r="J16" s="1">
        <f>D16*H16/D16</f>
        <v>0</v>
      </c>
      <c r="K16" s="1">
        <f>B16*C16^3/12+H16^2*D16</f>
        <v>7200000000</v>
      </c>
      <c r="L16" s="1">
        <f>C16*B16^3/12+G16^2*D16</f>
        <v>3200000000</v>
      </c>
      <c r="M16" s="1">
        <f t="shared" ref="M16" si="9">SUM(K16:L16)</f>
        <v>10400000000</v>
      </c>
      <c r="N16" s="1">
        <f>D16*G16*H16</f>
        <v>0</v>
      </c>
      <c r="O16" s="1">
        <f>SQRT(L16/D16)</f>
        <v>115.47005383792515</v>
      </c>
    </row>
    <row r="21" spans="1:11" x14ac:dyDescent="0.3">
      <c r="B21" s="1" t="s">
        <v>0</v>
      </c>
      <c r="C21" s="1" t="s">
        <v>20</v>
      </c>
      <c r="D21" s="1" t="s">
        <v>21</v>
      </c>
      <c r="E21" s="1" t="s">
        <v>24</v>
      </c>
      <c r="F21" s="1" t="s">
        <v>25</v>
      </c>
      <c r="G21" s="1" t="s">
        <v>26</v>
      </c>
      <c r="H21" s="1" t="s">
        <v>27</v>
      </c>
      <c r="I21" s="1" t="s">
        <v>22</v>
      </c>
      <c r="J21" s="1" t="s">
        <v>23</v>
      </c>
    </row>
    <row r="22" spans="1:11" x14ac:dyDescent="0.3">
      <c r="A22" s="3">
        <v>1</v>
      </c>
      <c r="B22" s="1">
        <v>1000</v>
      </c>
      <c r="C22" s="1">
        <v>500</v>
      </c>
      <c r="D22" s="1">
        <v>-50</v>
      </c>
      <c r="E22" s="1">
        <f>ATAN(-2*D22/(B22-C22))/2</f>
        <v>9.8697779924940388E-2</v>
      </c>
      <c r="F22" s="1">
        <f>E22*180/PI()</f>
        <v>5.6549662370101066</v>
      </c>
      <c r="G22" s="1">
        <f>(B22+C22)/2</f>
        <v>750</v>
      </c>
      <c r="H22" s="1">
        <f>SQRT((B22-C22)^2/4+D22^2)</f>
        <v>254.95097567963924</v>
      </c>
      <c r="I22" s="1">
        <f>G22+H22</f>
        <v>1004.9509756796392</v>
      </c>
      <c r="J22" s="1">
        <f>G22-H22</f>
        <v>495.04902432036079</v>
      </c>
    </row>
    <row r="23" spans="1:11" x14ac:dyDescent="0.3">
      <c r="A23" s="3">
        <v>2</v>
      </c>
      <c r="B23" s="1">
        <v>5333333.3333333302</v>
      </c>
      <c r="C23" s="1">
        <v>3333333.3333333302</v>
      </c>
      <c r="D23" s="1">
        <v>-2400000</v>
      </c>
      <c r="E23" s="1">
        <f>ATAN(-2*D23/(B23-C23))/2</f>
        <v>0.5880026035475675</v>
      </c>
      <c r="F23" s="1">
        <f>E23*180/PI()</f>
        <v>33.690067525979785</v>
      </c>
      <c r="G23" s="1">
        <f>(B23+C23)/2</f>
        <v>4333333.3333333302</v>
      </c>
      <c r="H23" s="1">
        <f>SQRT((B23-C23)^2/4+D23^2)</f>
        <v>2600000</v>
      </c>
      <c r="I23" s="1">
        <f>G23+H23</f>
        <v>6933333.3333333302</v>
      </c>
      <c r="J23" s="1">
        <f>G23-H23</f>
        <v>1733333.3333333302</v>
      </c>
    </row>
    <row r="24" spans="1:11" x14ac:dyDescent="0.3">
      <c r="A24" s="3">
        <v>3</v>
      </c>
      <c r="B24" s="1">
        <v>532</v>
      </c>
      <c r="C24" s="1">
        <v>740</v>
      </c>
      <c r="D24" s="1">
        <v>345</v>
      </c>
      <c r="E24" s="1">
        <f>ATAN(-2*D24/(B24-C24))/2</f>
        <v>0.6390052264115833</v>
      </c>
      <c r="F24" s="1">
        <f>E24*180/PI()</f>
        <v>36.612302560185327</v>
      </c>
      <c r="G24" s="1">
        <f>(B24+C24)/2</f>
        <v>636</v>
      </c>
      <c r="H24" s="1">
        <f>SQRT((B24-C24)^2/4+D24^2)</f>
        <v>360.33456675706259</v>
      </c>
      <c r="I24" s="1">
        <f>G24+H24</f>
        <v>996.33456675706259</v>
      </c>
      <c r="J24" s="1">
        <f>G24-H24</f>
        <v>275.66543324293741</v>
      </c>
    </row>
    <row r="25" spans="1:11" x14ac:dyDescent="0.3">
      <c r="A25" s="3">
        <v>4</v>
      </c>
      <c r="B25" s="1">
        <f>K13</f>
        <v>312500</v>
      </c>
      <c r="C25" s="1">
        <f>L13</f>
        <v>112500</v>
      </c>
      <c r="D25" s="1">
        <f>N13</f>
        <v>0</v>
      </c>
      <c r="E25" s="1">
        <f>ATAN(-2*D25/(B25-C25))/2</f>
        <v>0</v>
      </c>
      <c r="F25" s="1">
        <f>E25*180/PI()</f>
        <v>0</v>
      </c>
      <c r="G25" s="1">
        <f>(B25+C25)/2</f>
        <v>212500</v>
      </c>
      <c r="H25" s="1">
        <f>SQRT((B25-C25)^2/4+D25^2)</f>
        <v>100000</v>
      </c>
      <c r="I25" s="1">
        <f>G25+H25</f>
        <v>312500</v>
      </c>
      <c r="J25" s="1">
        <f>G25-H25</f>
        <v>112500</v>
      </c>
    </row>
    <row r="30" spans="1:11" x14ac:dyDescent="0.3">
      <c r="B30" s="1" t="s">
        <v>28</v>
      </c>
      <c r="C30" s="1" t="s">
        <v>34</v>
      </c>
      <c r="D30" s="1" t="s">
        <v>29</v>
      </c>
      <c r="E30" s="1" t="s">
        <v>30</v>
      </c>
      <c r="F30" s="1" t="s">
        <v>31</v>
      </c>
      <c r="G30" s="1" t="s">
        <v>32</v>
      </c>
      <c r="H30" s="1" t="s">
        <v>33</v>
      </c>
      <c r="I30" s="1" t="s">
        <v>35</v>
      </c>
      <c r="J30" s="1" t="s">
        <v>44</v>
      </c>
      <c r="K30" s="1" t="s">
        <v>43</v>
      </c>
    </row>
    <row r="31" spans="1:11" x14ac:dyDescent="0.3">
      <c r="A31" s="3">
        <v>1</v>
      </c>
      <c r="B31" s="1">
        <f>250/2</f>
        <v>125</v>
      </c>
      <c r="C31" s="1">
        <f>500/2</f>
        <v>250</v>
      </c>
      <c r="D31" s="1">
        <f>50/2</f>
        <v>25</v>
      </c>
      <c r="E31" s="1">
        <f>C31/2-D31</f>
        <v>100</v>
      </c>
      <c r="F31" s="1">
        <f>1200*1000</f>
        <v>1200000</v>
      </c>
      <c r="G31" s="1">
        <f>B31*D31*(E31+D31/2)</f>
        <v>351562.5</v>
      </c>
      <c r="H31" s="1">
        <f>B31*C31^3/12</f>
        <v>162760416.66666666</v>
      </c>
      <c r="I31" s="2">
        <f>F31*G31/H31/B31</f>
        <v>20.736000000000001</v>
      </c>
      <c r="J31" s="1">
        <f>250000000</f>
        <v>250000000</v>
      </c>
      <c r="K31" s="1">
        <f>J31/H31*E31</f>
        <v>153.6</v>
      </c>
    </row>
    <row r="32" spans="1:11" x14ac:dyDescent="0.3">
      <c r="A32" s="3">
        <v>2</v>
      </c>
      <c r="B32" s="1">
        <f>250/2</f>
        <v>125</v>
      </c>
      <c r="C32" s="1">
        <f>500/2</f>
        <v>250</v>
      </c>
      <c r="D32" s="1">
        <f>C32/2</f>
        <v>125</v>
      </c>
      <c r="E32" s="1">
        <f>C32/2-D32</f>
        <v>0</v>
      </c>
      <c r="F32" s="1">
        <f>1200*1000</f>
        <v>1200000</v>
      </c>
      <c r="G32" s="1">
        <f>B32*D32*(E32+D32/2)</f>
        <v>976562.5</v>
      </c>
      <c r="H32" s="1">
        <f>B32*C32^3/12</f>
        <v>162760416.66666666</v>
      </c>
      <c r="I32" s="2">
        <f>F32*G32/H32/B32</f>
        <v>57.6</v>
      </c>
      <c r="J32" s="1">
        <f t="shared" ref="J32:J33" si="10">250000000</f>
        <v>250000000</v>
      </c>
      <c r="K32" s="1">
        <f t="shared" ref="K32:K33" si="11">J32/H32*E32</f>
        <v>0</v>
      </c>
    </row>
    <row r="33" spans="1:12" x14ac:dyDescent="0.3">
      <c r="A33" s="3">
        <v>3</v>
      </c>
      <c r="B33" s="1">
        <f>250/2</f>
        <v>125</v>
      </c>
      <c r="C33" s="1">
        <f>500/2</f>
        <v>250</v>
      </c>
      <c r="D33" s="1">
        <v>0</v>
      </c>
      <c r="E33" s="1">
        <f>C33/2-D33</f>
        <v>125</v>
      </c>
      <c r="F33" s="1">
        <f>1200*1000</f>
        <v>1200000</v>
      </c>
      <c r="G33" s="1">
        <f>B33*D33*(E33+D33/2)</f>
        <v>0</v>
      </c>
      <c r="H33" s="1">
        <f>B33*C33^3/12</f>
        <v>162760416.66666666</v>
      </c>
      <c r="I33" s="2">
        <f>F33*G33/H33/B33</f>
        <v>0</v>
      </c>
      <c r="J33" s="1">
        <f t="shared" si="10"/>
        <v>250000000</v>
      </c>
      <c r="K33" s="1">
        <f t="shared" si="11"/>
        <v>192</v>
      </c>
    </row>
    <row r="34" spans="1:12" x14ac:dyDescent="0.3">
      <c r="A34" s="3">
        <v>4</v>
      </c>
      <c r="B34" s="1">
        <v>50</v>
      </c>
      <c r="C34" s="1">
        <v>120</v>
      </c>
      <c r="D34" s="1">
        <f>C34/2</f>
        <v>60</v>
      </c>
      <c r="E34" s="1">
        <f>C34/2-D34</f>
        <v>0</v>
      </c>
      <c r="F34" s="1">
        <f>75*1000</f>
        <v>75000</v>
      </c>
      <c r="G34" s="1">
        <f>B34*D34*(E34+D34/2)</f>
        <v>90000</v>
      </c>
      <c r="H34" s="1">
        <f>B34*C34^3/12</f>
        <v>7200000</v>
      </c>
      <c r="I34" s="2">
        <f>F34*G34/H34/B34</f>
        <v>18.75</v>
      </c>
    </row>
    <row r="35" spans="1:12" x14ac:dyDescent="0.3">
      <c r="A35" s="3">
        <v>5</v>
      </c>
      <c r="B35" s="1">
        <v>400</v>
      </c>
      <c r="C35" s="1">
        <v>600</v>
      </c>
      <c r="D35" s="1">
        <v>300</v>
      </c>
      <c r="E35" s="1">
        <f>C35/2-D35</f>
        <v>0</v>
      </c>
      <c r="F35" s="1">
        <v>500000</v>
      </c>
      <c r="G35" s="1">
        <f>B35*D35*(E35+D35/2)</f>
        <v>18000000</v>
      </c>
      <c r="H35" s="1">
        <f>B35*C35^3/12</f>
        <v>7200000000</v>
      </c>
      <c r="I35" s="2">
        <f>F35*G35/H35/B35</f>
        <v>3.125</v>
      </c>
    </row>
    <row r="36" spans="1:12" x14ac:dyDescent="0.3">
      <c r="A36" s="3">
        <v>5</v>
      </c>
      <c r="B36" s="1">
        <v>400</v>
      </c>
      <c r="C36" s="1">
        <v>600</v>
      </c>
      <c r="D36" s="1">
        <v>0</v>
      </c>
      <c r="E36" s="1">
        <f>C36/2-D36</f>
        <v>300</v>
      </c>
      <c r="H36" s="1">
        <f>B36*C36^3/12</f>
        <v>7200000000</v>
      </c>
      <c r="I36" s="2"/>
      <c r="J36" s="1">
        <f>750000000</f>
        <v>750000000</v>
      </c>
      <c r="K36" s="4">
        <f t="shared" ref="K36" si="12">J36/H36*E36</f>
        <v>31.25</v>
      </c>
    </row>
    <row r="37" spans="1:12" x14ac:dyDescent="0.3">
      <c r="A37" s="3">
        <v>6</v>
      </c>
      <c r="B37" s="1">
        <v>300</v>
      </c>
      <c r="C37" s="1">
        <v>500</v>
      </c>
      <c r="D37" s="1">
        <v>250</v>
      </c>
      <c r="E37" s="1">
        <f>C37/2-D37</f>
        <v>0</v>
      </c>
      <c r="F37" s="1">
        <v>2000000</v>
      </c>
      <c r="G37" s="1">
        <f>B37*D37*(E37+D37/2)</f>
        <v>9375000</v>
      </c>
      <c r="H37" s="1">
        <f>B37*C37^3/12</f>
        <v>3125000000</v>
      </c>
      <c r="I37" s="2">
        <f>F37*G37/H37/B37</f>
        <v>20</v>
      </c>
    </row>
    <row r="38" spans="1:12" x14ac:dyDescent="0.3">
      <c r="A38" s="3">
        <v>6</v>
      </c>
      <c r="B38" s="1">
        <v>300</v>
      </c>
      <c r="C38" s="1">
        <v>500</v>
      </c>
      <c r="D38" s="1">
        <v>0</v>
      </c>
      <c r="E38" s="1">
        <f>C38/2-D38</f>
        <v>250</v>
      </c>
      <c r="H38" s="1">
        <f>B38*C38^3/12</f>
        <v>3125000000</v>
      </c>
      <c r="I38" s="2"/>
      <c r="J38" s="1">
        <f>6000000000</f>
        <v>6000000000</v>
      </c>
      <c r="K38" s="4">
        <f t="shared" ref="K38:K39" si="13">J38/H38*E38</f>
        <v>480</v>
      </c>
    </row>
    <row r="39" spans="1:12" x14ac:dyDescent="0.3">
      <c r="A39" s="3">
        <v>7</v>
      </c>
      <c r="B39" s="1">
        <v>240</v>
      </c>
      <c r="C39" s="1">
        <v>360</v>
      </c>
      <c r="D39" s="1">
        <f>C39/2-40</f>
        <v>140</v>
      </c>
      <c r="E39" s="1">
        <f>C39/2-D39</f>
        <v>40</v>
      </c>
      <c r="F39" s="1">
        <f>240*1000</f>
        <v>240000</v>
      </c>
      <c r="G39" s="1">
        <f>B39*D39*(E39+D39/2)</f>
        <v>3696000</v>
      </c>
      <c r="H39" s="1">
        <f>B39*C39^3/12</f>
        <v>933120000</v>
      </c>
      <c r="I39" s="5">
        <f>F39*G39/H39/B39</f>
        <v>3.9609053497942388</v>
      </c>
      <c r="J39" s="1">
        <v>720000000</v>
      </c>
      <c r="K39" s="5">
        <f t="shared" si="13"/>
        <v>30.864197530864196</v>
      </c>
    </row>
    <row r="40" spans="1:12" x14ac:dyDescent="0.3">
      <c r="I40" s="2"/>
    </row>
    <row r="42" spans="1:12" x14ac:dyDescent="0.3">
      <c r="B42" s="1" t="s">
        <v>36</v>
      </c>
      <c r="C42" s="1" t="s">
        <v>37</v>
      </c>
      <c r="D42" s="1" t="s">
        <v>38</v>
      </c>
      <c r="E42" s="1" t="s">
        <v>24</v>
      </c>
      <c r="F42" s="1" t="s">
        <v>25</v>
      </c>
      <c r="G42" s="1" t="s">
        <v>26</v>
      </c>
      <c r="H42" s="1" t="s">
        <v>27</v>
      </c>
      <c r="I42" s="1" t="s">
        <v>39</v>
      </c>
      <c r="J42" s="1" t="s">
        <v>40</v>
      </c>
      <c r="K42" s="1" t="s">
        <v>41</v>
      </c>
      <c r="L42" s="1" t="s">
        <v>42</v>
      </c>
    </row>
    <row r="43" spans="1:12" x14ac:dyDescent="0.3">
      <c r="A43" s="3">
        <v>1</v>
      </c>
      <c r="B43" s="1">
        <v>1000</v>
      </c>
      <c r="C43" s="1">
        <v>500</v>
      </c>
      <c r="D43" s="1">
        <v>-50</v>
      </c>
      <c r="E43" s="1">
        <f>ATAN(-2*D43/(B43-C43))/2</f>
        <v>9.8697779924940388E-2</v>
      </c>
      <c r="F43" s="1">
        <f>E43*180/PI()</f>
        <v>5.6549662370101066</v>
      </c>
      <c r="G43" s="1">
        <f>(B43+C43)/2</f>
        <v>750</v>
      </c>
      <c r="H43" s="1">
        <f>SQRT((B43-C43)^2/4+D43^2)</f>
        <v>254.95097567963924</v>
      </c>
      <c r="I43" s="1">
        <f>G43+H43</f>
        <v>1004.9509756796392</v>
      </c>
      <c r="J43" s="1">
        <f>G43-H43</f>
        <v>495.04902432036079</v>
      </c>
      <c r="K43" s="1">
        <f t="shared" ref="K43:K47" si="14">F43+45</f>
        <v>50.654966237010107</v>
      </c>
      <c r="L43" s="1">
        <f t="shared" ref="L43:L47" si="15">K43-90</f>
        <v>-39.345033762989893</v>
      </c>
    </row>
    <row r="44" spans="1:12" x14ac:dyDescent="0.3">
      <c r="A44" s="3">
        <v>2</v>
      </c>
      <c r="B44" s="1">
        <v>5333333.3333333302</v>
      </c>
      <c r="C44" s="1">
        <v>3333333.3333333302</v>
      </c>
      <c r="D44" s="1">
        <v>-2400000</v>
      </c>
      <c r="E44" s="1">
        <f>ATAN(-2*D44/(B44-C44))/2</f>
        <v>0.5880026035475675</v>
      </c>
      <c r="F44" s="1">
        <f>E44*180/PI()</f>
        <v>33.690067525979785</v>
      </c>
      <c r="G44" s="1">
        <f>(B44+C44)/2</f>
        <v>4333333.3333333302</v>
      </c>
      <c r="H44" s="1">
        <f>SQRT((B44-C44)^2/4+D44^2)</f>
        <v>2600000</v>
      </c>
      <c r="I44" s="1">
        <f>G44+H44</f>
        <v>6933333.3333333302</v>
      </c>
      <c r="J44" s="1">
        <f>G44-H44</f>
        <v>1733333.3333333302</v>
      </c>
      <c r="K44" s="1">
        <f t="shared" si="14"/>
        <v>78.690067525979785</v>
      </c>
      <c r="L44" s="1">
        <f t="shared" si="15"/>
        <v>-11.309932474020215</v>
      </c>
    </row>
    <row r="45" spans="1:12" x14ac:dyDescent="0.3">
      <c r="A45" s="3">
        <v>3</v>
      </c>
      <c r="B45" s="1">
        <v>532</v>
      </c>
      <c r="C45" s="1">
        <v>740</v>
      </c>
      <c r="D45" s="1">
        <v>345</v>
      </c>
      <c r="E45" s="1">
        <f>ATAN(-2*D45/(B45-C45))/2</f>
        <v>0.6390052264115833</v>
      </c>
      <c r="F45" s="1">
        <f>E45*180/PI()</f>
        <v>36.612302560185327</v>
      </c>
      <c r="G45" s="1">
        <f>(B45+C45)/2</f>
        <v>636</v>
      </c>
      <c r="H45" s="1">
        <f>SQRT((B45-C45)^2/4+D45^2)</f>
        <v>360.33456675706259</v>
      </c>
      <c r="I45" s="1">
        <f>G45+H45</f>
        <v>996.33456675706259</v>
      </c>
      <c r="J45" s="1">
        <f>G45-H45</f>
        <v>275.66543324293741</v>
      </c>
      <c r="K45" s="1">
        <f t="shared" si="14"/>
        <v>81.612302560185327</v>
      </c>
      <c r="L45" s="1">
        <f t="shared" si="15"/>
        <v>-8.3876974398146729</v>
      </c>
    </row>
    <row r="46" spans="1:12" x14ac:dyDescent="0.3">
      <c r="A46" s="3">
        <v>4</v>
      </c>
      <c r="B46" s="1">
        <v>300</v>
      </c>
      <c r="C46" s="1">
        <v>150</v>
      </c>
      <c r="D46" s="1">
        <v>200</v>
      </c>
      <c r="E46" s="1">
        <f>ATAN(-2*D46/(B46-C46))/2</f>
        <v>-0.60601282826216218</v>
      </c>
      <c r="F46" s="1">
        <f>E46*180/PI()</f>
        <v>-34.721977390208266</v>
      </c>
      <c r="G46" s="1">
        <f>(B46+C46)/2</f>
        <v>225</v>
      </c>
      <c r="H46" s="1">
        <f>SQRT((B46-C46)^2/4+D46^2)</f>
        <v>213.60009363293827</v>
      </c>
      <c r="I46" s="1">
        <f>G46+H46</f>
        <v>438.6000936329383</v>
      </c>
      <c r="J46" s="1">
        <f>G46-H46</f>
        <v>11.399906367061732</v>
      </c>
      <c r="K46" s="1">
        <f t="shared" si="14"/>
        <v>10.278022609791734</v>
      </c>
      <c r="L46" s="1">
        <f t="shared" si="15"/>
        <v>-79.721977390208266</v>
      </c>
    </row>
    <row r="47" spans="1:12" x14ac:dyDescent="0.3">
      <c r="A47" s="3">
        <v>5</v>
      </c>
      <c r="B47" s="1">
        <v>50</v>
      </c>
      <c r="C47" s="1">
        <v>-10</v>
      </c>
      <c r="D47" s="1">
        <v>40</v>
      </c>
      <c r="E47" s="1">
        <f>ATAN(-2*D47/(B47-C47))/2</f>
        <v>-0.46364760900080609</v>
      </c>
      <c r="F47" s="1">
        <f>E47*180/PI()</f>
        <v>-26.56505117707799</v>
      </c>
      <c r="G47" s="1">
        <f>(B47+C47)/2</f>
        <v>20</v>
      </c>
      <c r="H47" s="1">
        <f>SQRT((B47-C47)^2/4+D47^2)</f>
        <v>50</v>
      </c>
      <c r="I47" s="1">
        <f>G47+H47</f>
        <v>70</v>
      </c>
      <c r="J47" s="1">
        <f>G47-H47</f>
        <v>-30</v>
      </c>
      <c r="K47" s="1">
        <f t="shared" si="14"/>
        <v>18.43494882292201</v>
      </c>
      <c r="L47" s="1">
        <f t="shared" si="15"/>
        <v>-71.56505117707799</v>
      </c>
    </row>
    <row r="48" spans="1:12" x14ac:dyDescent="0.3">
      <c r="A48" s="3">
        <v>6</v>
      </c>
      <c r="B48" s="1">
        <v>800</v>
      </c>
      <c r="C48" s="1">
        <v>400</v>
      </c>
      <c r="D48" s="1">
        <v>-550</v>
      </c>
      <c r="E48" s="1">
        <f>ATAN(-2*D48/(B48-C48))/2</f>
        <v>0.61101266160549483</v>
      </c>
      <c r="F48" s="1">
        <f>E48*180/PI()</f>
        <v>35.008446739050015</v>
      </c>
      <c r="G48" s="1">
        <f>(B48+C48)/2</f>
        <v>600</v>
      </c>
      <c r="H48" s="1">
        <f>SQRT((B48-C48)^2/4+D48^2)</f>
        <v>585.23499553598128</v>
      </c>
      <c r="I48" s="1">
        <f>G48+H48</f>
        <v>1185.2349955359814</v>
      </c>
      <c r="J48" s="1">
        <f>G48-H48</f>
        <v>14.765004464018716</v>
      </c>
      <c r="K48" s="1">
        <f>F48+45</f>
        <v>80.008446739050015</v>
      </c>
      <c r="L48" s="1">
        <f>K48-90</f>
        <v>-9.9915532609499849</v>
      </c>
    </row>
    <row r="49" spans="1:13" x14ac:dyDescent="0.3">
      <c r="A49" s="3">
        <v>7</v>
      </c>
      <c r="B49" s="5">
        <f>K39</f>
        <v>30.864197530864196</v>
      </c>
      <c r="C49" s="1">
        <v>0</v>
      </c>
      <c r="D49" s="5">
        <f>I39</f>
        <v>3.9609053497942388</v>
      </c>
      <c r="E49" s="5">
        <f>ATAN(-2*D49/(B49-C49))/2</f>
        <v>-0.12562163201205953</v>
      </c>
      <c r="F49" s="5">
        <f>E49*180/PI()</f>
        <v>-7.1975893298365268</v>
      </c>
      <c r="G49" s="5">
        <f>(B49+C49)/2</f>
        <v>15.432098765432098</v>
      </c>
      <c r="H49" s="5">
        <f>SQRT((B49-C49)^2/4+D49^2)</f>
        <v>15.932308165990248</v>
      </c>
      <c r="I49" s="5">
        <f>G49+H49</f>
        <v>31.364406931422344</v>
      </c>
      <c r="J49" s="5">
        <f>G49-H49</f>
        <v>-0.50020940055815011</v>
      </c>
      <c r="K49" s="5">
        <f>F49+45</f>
        <v>37.802410670163475</v>
      </c>
      <c r="L49" s="5">
        <f>K49-90</f>
        <v>-52.197589329836525</v>
      </c>
      <c r="M49" s="5">
        <f>L49*2</f>
        <v>-104.39517865967305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정종현</cp:lastModifiedBy>
  <dcterms:created xsi:type="dcterms:W3CDTF">2017-02-26T08:00:02Z</dcterms:created>
  <dcterms:modified xsi:type="dcterms:W3CDTF">2017-03-19T15:07:42Z</dcterms:modified>
</cp:coreProperties>
</file>