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 - 경남대학교\GitHub\structural_mechanics_II\"/>
    </mc:Choice>
  </mc:AlternateContent>
  <xr:revisionPtr revIDLastSave="0" documentId="13_ncr:1_{8F4B71AA-B9C7-445E-A20F-AF02A5F0D751}" xr6:coauthVersionLast="28" xr6:coauthVersionMax="28" xr10:uidLastSave="{00000000-0000-0000-0000-000000000000}"/>
  <bookViews>
    <workbookView xWindow="0" yWindow="0" windowWidth="21570" windowHeight="11610" xr2:uid="{00000000-000D-0000-FFFF-FFFF00000000}"/>
  </bookViews>
  <sheets>
    <sheet name="Sheet1" sheetId="1" r:id="rId1"/>
  </sheets>
  <calcPr calcId="171027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9" i="1" l="1"/>
  <c r="L10" i="1"/>
  <c r="B21" i="1"/>
  <c r="L20" i="1"/>
  <c r="M20" i="1"/>
  <c r="K20" i="1"/>
  <c r="H19" i="1"/>
  <c r="F19" i="1"/>
  <c r="E19" i="1"/>
  <c r="D19" i="1"/>
  <c r="H18" i="1"/>
  <c r="J18" i="1" s="1"/>
  <c r="L18" i="1"/>
  <c r="O18" i="1" s="1"/>
  <c r="K18" i="1"/>
  <c r="M18" i="1" s="1"/>
  <c r="I18" i="1"/>
  <c r="F18" i="1"/>
  <c r="E18" i="1"/>
  <c r="D18" i="1"/>
  <c r="K17" i="1"/>
  <c r="F17" i="1"/>
  <c r="E17" i="1"/>
  <c r="D17" i="1"/>
  <c r="N17" i="1" s="1"/>
  <c r="N19" i="1" l="1"/>
  <c r="L19" i="1"/>
  <c r="O19" i="1" s="1"/>
  <c r="K19" i="1"/>
  <c r="M19" i="1" s="1"/>
  <c r="I19" i="1"/>
  <c r="J19" i="1"/>
  <c r="N18" i="1"/>
  <c r="L17" i="1"/>
  <c r="O17" i="1" s="1"/>
  <c r="I17" i="1"/>
  <c r="J17" i="1"/>
  <c r="J47" i="1"/>
  <c r="M17" i="1" l="1"/>
  <c r="I90" i="1"/>
  <c r="B92" i="1" l="1"/>
  <c r="C92" i="1"/>
  <c r="E92" i="1"/>
  <c r="E91" i="1"/>
  <c r="C91" i="1"/>
  <c r="G90" i="1"/>
  <c r="E90" i="1"/>
  <c r="C90" i="1"/>
  <c r="E89" i="1"/>
  <c r="G89" i="1"/>
  <c r="E88" i="1"/>
  <c r="E87" i="1"/>
  <c r="C87" i="1"/>
  <c r="G87" i="1" s="1"/>
  <c r="G91" i="1" l="1"/>
  <c r="G88" i="1"/>
  <c r="F59" i="1"/>
  <c r="D59" i="1"/>
  <c r="E59" i="1" s="1"/>
  <c r="G59" i="1" s="1"/>
  <c r="H59" i="1"/>
  <c r="J58" i="1"/>
  <c r="J57" i="1"/>
  <c r="F58" i="1"/>
  <c r="F57" i="1"/>
  <c r="H57" i="1"/>
  <c r="D58" i="1"/>
  <c r="E58" i="1" s="1"/>
  <c r="H58" i="1"/>
  <c r="E57" i="1"/>
  <c r="G57" i="1" s="1"/>
  <c r="J56" i="1"/>
  <c r="K56" i="1" s="1"/>
  <c r="J55" i="1"/>
  <c r="J53" i="1"/>
  <c r="K53" i="1" s="1"/>
  <c r="J54" i="1"/>
  <c r="K54" i="1" s="1"/>
  <c r="K55" i="1"/>
  <c r="H56" i="1"/>
  <c r="H55" i="1"/>
  <c r="H54" i="1"/>
  <c r="H53" i="1"/>
  <c r="H44" i="1"/>
  <c r="J50" i="1"/>
  <c r="J51" i="1"/>
  <c r="J52" i="1"/>
  <c r="J49" i="1"/>
  <c r="H52" i="1"/>
  <c r="E52" i="1"/>
  <c r="G52" i="1" s="1"/>
  <c r="H51" i="1"/>
  <c r="E51" i="1"/>
  <c r="G51" i="1" s="1"/>
  <c r="H50" i="1"/>
  <c r="H49" i="1"/>
  <c r="E49" i="1"/>
  <c r="G49" i="1" s="1"/>
  <c r="D48" i="1"/>
  <c r="G48" i="1" s="1"/>
  <c r="I48" i="1" s="1"/>
  <c r="J48" i="1"/>
  <c r="H48" i="1"/>
  <c r="K48" i="1" s="1"/>
  <c r="E48" i="1"/>
  <c r="E47" i="1"/>
  <c r="G47" i="1" s="1"/>
  <c r="I47" i="1" s="1"/>
  <c r="H47" i="1"/>
  <c r="E78" i="1"/>
  <c r="F78" i="1" s="1"/>
  <c r="K78" i="1" s="1"/>
  <c r="L78" i="1" s="1"/>
  <c r="H78" i="1"/>
  <c r="I78" i="1" s="1"/>
  <c r="G78" i="1"/>
  <c r="E77" i="1"/>
  <c r="F77" i="1" s="1"/>
  <c r="K77" i="1" s="1"/>
  <c r="L77" i="1" s="1"/>
  <c r="H77" i="1"/>
  <c r="I77" i="1"/>
  <c r="J77" i="1"/>
  <c r="G77" i="1"/>
  <c r="E76" i="1"/>
  <c r="F76" i="1"/>
  <c r="K76" i="1" s="1"/>
  <c r="L76" i="1" s="1"/>
  <c r="H76" i="1"/>
  <c r="J76" i="1" s="1"/>
  <c r="I76" i="1"/>
  <c r="G76" i="1"/>
  <c r="E75" i="1"/>
  <c r="F75" i="1" s="1"/>
  <c r="K75" i="1" s="1"/>
  <c r="L75" i="1" s="1"/>
  <c r="H75" i="1"/>
  <c r="J75" i="1" s="1"/>
  <c r="G75" i="1"/>
  <c r="H74" i="1"/>
  <c r="G74" i="1"/>
  <c r="J74" i="1" s="1"/>
  <c r="E74" i="1"/>
  <c r="F74" i="1" s="1"/>
  <c r="K74" i="1" s="1"/>
  <c r="L74" i="1" s="1"/>
  <c r="M74" i="1" s="1"/>
  <c r="K59" i="1" l="1"/>
  <c r="B79" i="1" s="1"/>
  <c r="I59" i="1"/>
  <c r="D79" i="1" s="1"/>
  <c r="I57" i="1"/>
  <c r="K57" i="1"/>
  <c r="G58" i="1"/>
  <c r="I58" i="1" s="1"/>
  <c r="K58" i="1"/>
  <c r="I52" i="1"/>
  <c r="K51" i="1"/>
  <c r="K52" i="1"/>
  <c r="I51" i="1"/>
  <c r="I49" i="1"/>
  <c r="K49" i="1"/>
  <c r="E50" i="1"/>
  <c r="G50" i="1" s="1"/>
  <c r="I50" i="1" s="1"/>
  <c r="K47" i="1"/>
  <c r="J78" i="1"/>
  <c r="I75" i="1"/>
  <c r="I74" i="1"/>
  <c r="M83" i="1"/>
  <c r="L83" i="1"/>
  <c r="K83" i="1"/>
  <c r="J83" i="1"/>
  <c r="I83" i="1"/>
  <c r="H83" i="1"/>
  <c r="G83" i="1"/>
  <c r="F83" i="1"/>
  <c r="I46" i="1"/>
  <c r="I45" i="1"/>
  <c r="H46" i="1"/>
  <c r="H45" i="1"/>
  <c r="G46" i="1"/>
  <c r="G45" i="1"/>
  <c r="E44" i="1"/>
  <c r="G44" i="1" s="1"/>
  <c r="C31" i="1"/>
  <c r="H79" i="1" l="1"/>
  <c r="G79" i="1"/>
  <c r="E79" i="1"/>
  <c r="F79" i="1" s="1"/>
  <c r="K79" i="1" s="1"/>
  <c r="L79" i="1" s="1"/>
  <c r="K50" i="1"/>
  <c r="I44" i="1"/>
  <c r="E73" i="1"/>
  <c r="F73" i="1"/>
  <c r="K73" i="1" s="1"/>
  <c r="L73" i="1" s="1"/>
  <c r="M73" i="1" s="1"/>
  <c r="H73" i="1"/>
  <c r="G73" i="1"/>
  <c r="J73" i="1" s="1"/>
  <c r="D73" i="1"/>
  <c r="B73" i="1"/>
  <c r="D43" i="1"/>
  <c r="E43" i="1" s="1"/>
  <c r="G43" i="1" s="1"/>
  <c r="F43" i="1"/>
  <c r="H43" i="1"/>
  <c r="J42" i="1"/>
  <c r="H42" i="1"/>
  <c r="E42" i="1"/>
  <c r="H41" i="1"/>
  <c r="E41" i="1"/>
  <c r="G41" i="1" s="1"/>
  <c r="J40" i="1"/>
  <c r="H39" i="1"/>
  <c r="H40" i="1"/>
  <c r="E40" i="1"/>
  <c r="E39" i="1"/>
  <c r="G39" i="1"/>
  <c r="I16" i="1"/>
  <c r="F16" i="1"/>
  <c r="E16" i="1"/>
  <c r="D16" i="1"/>
  <c r="N16" i="1" s="1"/>
  <c r="J36" i="1"/>
  <c r="J37" i="1"/>
  <c r="J35" i="1"/>
  <c r="F37" i="1"/>
  <c r="C37" i="1"/>
  <c r="B37" i="1"/>
  <c r="D38" i="1"/>
  <c r="E38" i="1" s="1"/>
  <c r="G38" i="1" s="1"/>
  <c r="F38" i="1"/>
  <c r="H38" i="1"/>
  <c r="J79" i="1" l="1"/>
  <c r="I79" i="1"/>
  <c r="I73" i="1"/>
  <c r="I41" i="1"/>
  <c r="I39" i="1"/>
  <c r="I43" i="1"/>
  <c r="K43" i="1"/>
  <c r="K42" i="1"/>
  <c r="K40" i="1"/>
  <c r="K16" i="1"/>
  <c r="L16" i="1"/>
  <c r="O16" i="1" s="1"/>
  <c r="J16" i="1"/>
  <c r="E37" i="1"/>
  <c r="H37" i="1"/>
  <c r="K37" i="1" s="1"/>
  <c r="I38" i="1"/>
  <c r="E72" i="1"/>
  <c r="F72" i="1" s="1"/>
  <c r="K72" i="1" s="1"/>
  <c r="L72" i="1" s="1"/>
  <c r="H72" i="1"/>
  <c r="G72" i="1"/>
  <c r="H71" i="1"/>
  <c r="G71" i="1"/>
  <c r="E71" i="1"/>
  <c r="F71" i="1" s="1"/>
  <c r="K71" i="1" s="1"/>
  <c r="L71" i="1" s="1"/>
  <c r="I72" i="1" l="1"/>
  <c r="M16" i="1"/>
  <c r="G37" i="1"/>
  <c r="I37" i="1" s="1"/>
  <c r="J72" i="1"/>
  <c r="J71" i="1"/>
  <c r="I71" i="1"/>
  <c r="H70" i="1"/>
  <c r="G70" i="1"/>
  <c r="E70" i="1"/>
  <c r="F70" i="1" s="1"/>
  <c r="K70" i="1" s="1"/>
  <c r="L70" i="1" s="1"/>
  <c r="J69" i="1"/>
  <c r="H69" i="1"/>
  <c r="G69" i="1"/>
  <c r="I69" i="1" s="1"/>
  <c r="E69" i="1"/>
  <c r="F69" i="1" s="1"/>
  <c r="K69" i="1" s="1"/>
  <c r="L69" i="1" s="1"/>
  <c r="H68" i="1"/>
  <c r="G68" i="1"/>
  <c r="E68" i="1"/>
  <c r="F68" i="1" s="1"/>
  <c r="K68" i="1" s="1"/>
  <c r="L68" i="1" s="1"/>
  <c r="H67" i="1"/>
  <c r="G67" i="1"/>
  <c r="I67" i="1" s="1"/>
  <c r="E67" i="1"/>
  <c r="F67" i="1" s="1"/>
  <c r="K67" i="1" s="1"/>
  <c r="L67" i="1" s="1"/>
  <c r="J68" i="1" l="1"/>
  <c r="J67" i="1"/>
  <c r="I68" i="1"/>
  <c r="J70" i="1"/>
  <c r="I70" i="1"/>
  <c r="B35" i="1"/>
  <c r="C35" i="1"/>
  <c r="E35" i="1" s="1"/>
  <c r="D35" i="1"/>
  <c r="F35" i="1"/>
  <c r="C36" i="1"/>
  <c r="D36" i="1" s="1"/>
  <c r="B36" i="1"/>
  <c r="F36" i="1"/>
  <c r="G15" i="1"/>
  <c r="E15" i="1"/>
  <c r="F14" i="1"/>
  <c r="E14" i="1"/>
  <c r="D14" i="1"/>
  <c r="N14" i="1" s="1"/>
  <c r="J14" i="1" l="1"/>
  <c r="K14" i="1"/>
  <c r="L14" i="1"/>
  <c r="O14" i="1" s="1"/>
  <c r="I14" i="1"/>
  <c r="E36" i="1"/>
  <c r="G35" i="1"/>
  <c r="H36" i="1"/>
  <c r="K36" i="1" s="1"/>
  <c r="G36" i="1"/>
  <c r="H35" i="1"/>
  <c r="K35" i="1" s="1"/>
  <c r="K13" i="1"/>
  <c r="P13" i="1" s="1"/>
  <c r="F13" i="1"/>
  <c r="E13" i="1"/>
  <c r="D13" i="1"/>
  <c r="N13" i="1" s="1"/>
  <c r="D29" i="1" s="1"/>
  <c r="H28" i="1"/>
  <c r="G28" i="1"/>
  <c r="E28" i="1"/>
  <c r="F28" i="1" s="1"/>
  <c r="E26" i="1"/>
  <c r="F26" i="1" s="1"/>
  <c r="E27" i="1"/>
  <c r="F27" i="1" s="1"/>
  <c r="H27" i="1"/>
  <c r="G27" i="1"/>
  <c r="H26" i="1"/>
  <c r="G26" i="1"/>
  <c r="J26" i="1" s="1"/>
  <c r="K6" i="1"/>
  <c r="L6" i="1"/>
  <c r="N6" i="1"/>
  <c r="F11" i="1"/>
  <c r="E11" i="1"/>
  <c r="F10" i="1"/>
  <c r="E10" i="1"/>
  <c r="D11" i="1"/>
  <c r="D10" i="1"/>
  <c r="D12" i="1" s="1"/>
  <c r="F8" i="1"/>
  <c r="E8" i="1"/>
  <c r="D8" i="1"/>
  <c r="N8" i="1" s="1"/>
  <c r="F7" i="1"/>
  <c r="E7" i="1"/>
  <c r="D7" i="1"/>
  <c r="K7" i="1" s="1"/>
  <c r="F5" i="1"/>
  <c r="E5" i="1"/>
  <c r="D5" i="1"/>
  <c r="K5" i="1" s="1"/>
  <c r="F4" i="1"/>
  <c r="E4" i="1"/>
  <c r="D4" i="1"/>
  <c r="K4" i="1" s="1"/>
  <c r="P4" i="1" s="1"/>
  <c r="F3" i="1"/>
  <c r="E3" i="1"/>
  <c r="D3" i="1"/>
  <c r="K3" i="1" s="1"/>
  <c r="F2" i="1"/>
  <c r="E2" i="1"/>
  <c r="D2" i="1"/>
  <c r="N2" i="1" s="1"/>
  <c r="M14" i="1" l="1"/>
  <c r="I7" i="1"/>
  <c r="N5" i="1"/>
  <c r="N3" i="1"/>
  <c r="B29" i="1"/>
  <c r="L3" i="1"/>
  <c r="O3" i="1" s="1"/>
  <c r="M6" i="1"/>
  <c r="I36" i="1"/>
  <c r="I35" i="1"/>
  <c r="P5" i="1"/>
  <c r="L8" i="1"/>
  <c r="O8" i="1" s="1"/>
  <c r="K8" i="1"/>
  <c r="N7" i="1"/>
  <c r="L5" i="1"/>
  <c r="O5" i="1" s="1"/>
  <c r="I26" i="1"/>
  <c r="I28" i="1"/>
  <c r="I8" i="1"/>
  <c r="L7" i="1"/>
  <c r="O7" i="1" s="1"/>
  <c r="J7" i="1"/>
  <c r="K2" i="1"/>
  <c r="P2" i="1" s="1"/>
  <c r="N4" i="1"/>
  <c r="J8" i="1"/>
  <c r="L2" i="1"/>
  <c r="O2" i="1" s="1"/>
  <c r="L4" i="1"/>
  <c r="O4" i="1" s="1"/>
  <c r="D9" i="1"/>
  <c r="I13" i="1"/>
  <c r="J13" i="1"/>
  <c r="L13" i="1"/>
  <c r="J28" i="1"/>
  <c r="J27" i="1"/>
  <c r="I27" i="1"/>
  <c r="P7" i="1"/>
  <c r="P3" i="1"/>
  <c r="J5" i="1"/>
  <c r="I5" i="1"/>
  <c r="J2" i="1"/>
  <c r="J4" i="1"/>
  <c r="I2" i="1"/>
  <c r="I4" i="1"/>
  <c r="J3" i="1"/>
  <c r="I3" i="1"/>
  <c r="M3" i="1" l="1"/>
  <c r="O13" i="1"/>
  <c r="C29" i="1"/>
  <c r="E29" i="1" s="1"/>
  <c r="F29" i="1" s="1"/>
  <c r="M4" i="1"/>
  <c r="M7" i="1"/>
  <c r="P8" i="1"/>
  <c r="M8" i="1"/>
  <c r="E9" i="1"/>
  <c r="M5" i="1"/>
  <c r="F9" i="1"/>
  <c r="M2" i="1"/>
  <c r="M13" i="1"/>
  <c r="G29" i="1" l="1"/>
  <c r="H29" i="1"/>
  <c r="J29" i="1" s="1"/>
  <c r="H11" i="1"/>
  <c r="K11" i="1" s="1"/>
  <c r="H10" i="1"/>
  <c r="K10" i="1" s="1"/>
  <c r="G11" i="1"/>
  <c r="G10" i="1"/>
  <c r="I29" i="1" l="1"/>
  <c r="P11" i="1"/>
  <c r="N10" i="1"/>
  <c r="L11" i="1"/>
  <c r="O11" i="1" s="1"/>
  <c r="N11" i="1"/>
  <c r="P10" i="1"/>
  <c r="K12" i="1"/>
  <c r="N12" i="1" l="1"/>
  <c r="O10" i="1"/>
  <c r="L12" i="1"/>
  <c r="O12" i="1" s="1"/>
  <c r="P12" i="1"/>
  <c r="M12" i="1" l="1"/>
</calcChain>
</file>

<file path=xl/sharedStrings.xml><?xml version="1.0" encoding="utf-8"?>
<sst xmlns="http://schemas.openxmlformats.org/spreadsheetml/2006/main" count="70" uniqueCount="64">
  <si>
    <t>Ix</t>
    <phoneticPr fontId="2" type="noConversion"/>
  </si>
  <si>
    <t>Cx</t>
    <phoneticPr fontId="2" type="noConversion"/>
  </si>
  <si>
    <t>Cy</t>
    <phoneticPr fontId="2" type="noConversion"/>
  </si>
  <si>
    <t>Ix</t>
    <phoneticPr fontId="2" type="noConversion"/>
  </si>
  <si>
    <t>Iy</t>
    <phoneticPr fontId="2" type="noConversion"/>
  </si>
  <si>
    <t>Ixy</t>
    <phoneticPr fontId="2" type="noConversion"/>
  </si>
  <si>
    <t>Ip</t>
    <phoneticPr fontId="2" type="noConversion"/>
  </si>
  <si>
    <t>kx</t>
    <phoneticPr fontId="2" type="noConversion"/>
  </si>
  <si>
    <t>ky</t>
    <phoneticPr fontId="2" type="noConversion"/>
  </si>
  <si>
    <t>A</t>
    <phoneticPr fontId="2" type="noConversion"/>
  </si>
  <si>
    <t>b</t>
    <phoneticPr fontId="2" type="noConversion"/>
  </si>
  <si>
    <t>h</t>
    <phoneticPr fontId="2" type="noConversion"/>
  </si>
  <si>
    <t>ecc_x</t>
    <phoneticPr fontId="2" type="noConversion"/>
  </si>
  <si>
    <t>ecc_y</t>
    <phoneticPr fontId="2" type="noConversion"/>
  </si>
  <si>
    <t>G_x</t>
    <phoneticPr fontId="2" type="noConversion"/>
  </si>
  <si>
    <t>G_y</t>
    <phoneticPr fontId="2" type="noConversion"/>
  </si>
  <si>
    <t>sum</t>
    <phoneticPr fontId="2" type="noConversion"/>
  </si>
  <si>
    <t>5'</t>
    <phoneticPr fontId="2" type="noConversion"/>
  </si>
  <si>
    <t>6'</t>
    <phoneticPr fontId="2" type="noConversion"/>
  </si>
  <si>
    <t>sum</t>
    <phoneticPr fontId="2" type="noConversion"/>
  </si>
  <si>
    <t>Iy</t>
    <phoneticPr fontId="2" type="noConversion"/>
  </si>
  <si>
    <t>Ixy</t>
    <phoneticPr fontId="2" type="noConversion"/>
  </si>
  <si>
    <t>I_1</t>
    <phoneticPr fontId="2" type="noConversion"/>
  </si>
  <si>
    <t>I_2</t>
    <phoneticPr fontId="2" type="noConversion"/>
  </si>
  <si>
    <t>theta_p</t>
    <phoneticPr fontId="2" type="noConversion"/>
  </si>
  <si>
    <t>theta_p(degree)</t>
    <phoneticPr fontId="2" type="noConversion"/>
  </si>
  <si>
    <t>center</t>
    <phoneticPr fontId="2" type="noConversion"/>
  </si>
  <si>
    <t>radius</t>
    <phoneticPr fontId="2" type="noConversion"/>
  </si>
  <si>
    <t>b</t>
    <phoneticPr fontId="2" type="noConversion"/>
  </si>
  <si>
    <t>V</t>
    <phoneticPr fontId="2" type="noConversion"/>
  </si>
  <si>
    <t>G</t>
    <phoneticPr fontId="2" type="noConversion"/>
  </si>
  <si>
    <t>I</t>
    <phoneticPr fontId="2" type="noConversion"/>
  </si>
  <si>
    <t>h_total</t>
    <phoneticPr fontId="2" type="noConversion"/>
  </si>
  <si>
    <t>tau</t>
    <phoneticPr fontId="2" type="noConversion"/>
  </si>
  <si>
    <t>sigma_x</t>
    <phoneticPr fontId="2" type="noConversion"/>
  </si>
  <si>
    <t>sigma_y</t>
    <phoneticPr fontId="2" type="noConversion"/>
  </si>
  <si>
    <t>tau_xy</t>
    <phoneticPr fontId="2" type="noConversion"/>
  </si>
  <si>
    <t>sigma_1</t>
    <phoneticPr fontId="2" type="noConversion"/>
  </si>
  <si>
    <t>sigma_2</t>
    <phoneticPr fontId="2" type="noConversion"/>
  </si>
  <si>
    <t>theta_s(degree)+</t>
    <phoneticPr fontId="2" type="noConversion"/>
  </si>
  <si>
    <t>theta_s(degree)-</t>
    <phoneticPr fontId="2" type="noConversion"/>
  </si>
  <si>
    <t>sigma</t>
    <phoneticPr fontId="2" type="noConversion"/>
  </si>
  <si>
    <t>M</t>
    <phoneticPr fontId="2" type="noConversion"/>
  </si>
  <si>
    <t>L</t>
    <phoneticPr fontId="2" type="noConversion"/>
  </si>
  <si>
    <t>delta_L</t>
    <phoneticPr fontId="2" type="noConversion"/>
  </si>
  <si>
    <t>d</t>
    <phoneticPr fontId="2" type="noConversion"/>
  </si>
  <si>
    <t>delta_d</t>
    <phoneticPr fontId="2" type="noConversion"/>
  </si>
  <si>
    <t>P</t>
    <phoneticPr fontId="2" type="noConversion"/>
  </si>
  <si>
    <t>sigma</t>
    <phoneticPr fontId="2" type="noConversion"/>
  </si>
  <si>
    <t>epsilon</t>
    <phoneticPr fontId="2" type="noConversion"/>
  </si>
  <si>
    <t>E</t>
    <phoneticPr fontId="2" type="noConversion"/>
  </si>
  <si>
    <t>nu</t>
    <phoneticPr fontId="2" type="noConversion"/>
  </si>
  <si>
    <t>G</t>
    <phoneticPr fontId="2" type="noConversion"/>
  </si>
  <si>
    <t>Area</t>
    <phoneticPr fontId="2" type="noConversion"/>
  </si>
  <si>
    <t>beta</t>
    <phoneticPr fontId="2" type="noConversion"/>
  </si>
  <si>
    <t>강봉</t>
    <phoneticPr fontId="2" type="noConversion"/>
  </si>
  <si>
    <t>L</t>
    <phoneticPr fontId="2" type="noConversion"/>
  </si>
  <si>
    <t>d</t>
    <phoneticPr fontId="2" type="noConversion"/>
  </si>
  <si>
    <t>A</t>
    <phoneticPr fontId="2" type="noConversion"/>
  </si>
  <si>
    <t>P</t>
    <phoneticPr fontId="2" type="noConversion"/>
  </si>
  <si>
    <t>delta_L</t>
    <phoneticPr fontId="2" type="noConversion"/>
  </si>
  <si>
    <t>E</t>
    <phoneticPr fontId="2" type="noConversion"/>
  </si>
  <si>
    <t>h of this area</t>
    <phoneticPr fontId="2" type="noConversion"/>
  </si>
  <si>
    <t>y to btm of this area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</si>
</sst>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-* #,##0_-;\-* #,##0_-;_-* &quot;-&quot;_-;_-@_-"/>
    <numFmt numFmtId="176" formatCode="0_ ;[Red]\-0\ "/>
    <numFmt numFmtId="177" formatCode="0.000_ ;[Red]\-0.000\ "/>
    <numFmt numFmtId="178" formatCode="0.0000_ ;[Red]\-0.0000\ "/>
    <numFmt numFmtId="179" formatCode="0.00000_ ;[Red]\-0.00000\ "/>
    <numFmt numFmtId="180" formatCode="0.0000E+00"/>
  </numFmts>
  <fonts count="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6">
    <xf numFmtId="0" fontId="0" fillId="0" borderId="0" xfId="0">
      <alignment vertical="center"/>
    </xf>
    <xf numFmtId="176" fontId="0" fillId="0" borderId="0" xfId="1" applyNumberFormat="1" applyFont="1">
      <alignment vertical="center"/>
    </xf>
    <xf numFmtId="177" fontId="0" fillId="0" borderId="0" xfId="1" applyNumberFormat="1" applyFont="1">
      <alignment vertical="center"/>
    </xf>
    <xf numFmtId="178" fontId="0" fillId="0" borderId="0" xfId="1" applyNumberFormat="1" applyFont="1">
      <alignment vertical="center"/>
    </xf>
    <xf numFmtId="179" fontId="0" fillId="0" borderId="0" xfId="1" applyNumberFormat="1" applyFont="1">
      <alignment vertical="center"/>
    </xf>
    <xf numFmtId="180" fontId="0" fillId="0" borderId="0" xfId="1" applyNumberFormat="1" applyFont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92"/>
  <sheetViews>
    <sheetView tabSelected="1" topLeftCell="A19" zoomScale="85" zoomScaleNormal="85" workbookViewId="0">
      <selection activeCell="H44" sqref="H44"/>
    </sheetView>
  </sheetViews>
  <sheetFormatPr defaultRowHeight="16.5" x14ac:dyDescent="0.3"/>
  <cols>
    <col min="1" max="1" width="6" style="1" customWidth="1"/>
    <col min="2" max="3" width="15" style="2" bestFit="1" customWidth="1"/>
    <col min="4" max="4" width="15.875" style="2" bestFit="1" customWidth="1"/>
    <col min="5" max="5" width="20.125" style="2" bestFit="1" customWidth="1"/>
    <col min="6" max="6" width="15" style="2" bestFit="1" customWidth="1"/>
    <col min="7" max="7" width="16.125" style="2" bestFit="1" customWidth="1"/>
    <col min="8" max="8" width="18.375" style="2" bestFit="1" customWidth="1"/>
    <col min="9" max="9" width="15" style="2" bestFit="1" customWidth="1"/>
    <col min="10" max="10" width="18.75" style="2" bestFit="1" customWidth="1"/>
    <col min="11" max="12" width="18.375" style="2" bestFit="1" customWidth="1"/>
    <col min="13" max="13" width="19.375" style="2" bestFit="1" customWidth="1"/>
    <col min="14" max="14" width="15.875" style="4" bestFit="1" customWidth="1"/>
    <col min="15" max="15" width="10.5" style="4" bestFit="1" customWidth="1"/>
    <col min="16" max="16" width="9.5" style="4" bestFit="1" customWidth="1"/>
    <col min="17" max="16384" width="9" style="4"/>
  </cols>
  <sheetData>
    <row r="1" spans="1:16" x14ac:dyDescent="0.3">
      <c r="B1" s="2" t="s">
        <v>10</v>
      </c>
      <c r="C1" s="2" t="s">
        <v>11</v>
      </c>
      <c r="D1" s="2" t="s">
        <v>9</v>
      </c>
      <c r="E1" s="2" t="s">
        <v>1</v>
      </c>
      <c r="F1" s="2" t="s">
        <v>2</v>
      </c>
      <c r="G1" s="2" t="s">
        <v>12</v>
      </c>
      <c r="H1" s="2" t="s">
        <v>13</v>
      </c>
      <c r="I1" s="2" t="s">
        <v>14</v>
      </c>
      <c r="J1" s="2" t="s">
        <v>15</v>
      </c>
      <c r="K1" s="2" t="s">
        <v>3</v>
      </c>
      <c r="L1" s="2" t="s">
        <v>4</v>
      </c>
      <c r="M1" s="2" t="s">
        <v>6</v>
      </c>
      <c r="N1" s="4" t="s">
        <v>5</v>
      </c>
      <c r="O1" s="4" t="s">
        <v>7</v>
      </c>
      <c r="P1" s="4" t="s">
        <v>8</v>
      </c>
    </row>
    <row r="2" spans="1:16" x14ac:dyDescent="0.3">
      <c r="A2" s="1">
        <v>1</v>
      </c>
      <c r="B2" s="2">
        <v>70</v>
      </c>
      <c r="C2" s="2">
        <v>120</v>
      </c>
      <c r="D2" s="2">
        <f>B2*C2</f>
        <v>8400</v>
      </c>
      <c r="E2" s="2">
        <f t="shared" ref="E2:F5" si="0">B2/2</f>
        <v>35</v>
      </c>
      <c r="F2" s="2">
        <f t="shared" si="0"/>
        <v>60</v>
      </c>
      <c r="G2" s="2">
        <v>0</v>
      </c>
      <c r="H2" s="2">
        <v>0</v>
      </c>
      <c r="I2" s="2">
        <f>D2*G2/D2</f>
        <v>0</v>
      </c>
      <c r="J2" s="2">
        <f>D2*H2/D2</f>
        <v>0</v>
      </c>
      <c r="K2" s="2">
        <f t="shared" ref="K2:K8" si="1">B2*C2^3/12+H2^2*D2</f>
        <v>10080000</v>
      </c>
      <c r="L2" s="2">
        <f t="shared" ref="L2:L8" si="2">C2*B2^3/12+G2^2*D2</f>
        <v>3430000</v>
      </c>
      <c r="M2" s="2">
        <f>SUM(K2:L2)</f>
        <v>13510000</v>
      </c>
      <c r="N2" s="4">
        <f t="shared" ref="N2:N8" si="3">D2*G2*H2</f>
        <v>0</v>
      </c>
      <c r="O2" s="4">
        <f>SQRT(L2/D2)</f>
        <v>20.207259421636902</v>
      </c>
      <c r="P2" s="4">
        <f>SQRT(K2/D2)</f>
        <v>34.641016151377549</v>
      </c>
    </row>
    <row r="3" spans="1:16" x14ac:dyDescent="0.3">
      <c r="A3" s="1">
        <v>2</v>
      </c>
      <c r="B3" s="2">
        <v>40</v>
      </c>
      <c r="C3" s="2">
        <v>70</v>
      </c>
      <c r="D3" s="2">
        <f>B3*C3</f>
        <v>2800</v>
      </c>
      <c r="E3" s="2">
        <f t="shared" si="0"/>
        <v>20</v>
      </c>
      <c r="F3" s="2">
        <f t="shared" si="0"/>
        <v>35</v>
      </c>
      <c r="G3" s="2">
        <v>0</v>
      </c>
      <c r="H3" s="2">
        <v>0</v>
      </c>
      <c r="I3" s="2">
        <f>D3*G3/D3</f>
        <v>0</v>
      </c>
      <c r="J3" s="2">
        <f>D3*H3/D3</f>
        <v>0</v>
      </c>
      <c r="K3" s="2">
        <f t="shared" si="1"/>
        <v>1143333.3333333333</v>
      </c>
      <c r="L3" s="2">
        <f t="shared" si="2"/>
        <v>373333.33333333331</v>
      </c>
      <c r="M3" s="2">
        <f t="shared" ref="M3:M8" si="4">SUM(K3:L3)</f>
        <v>1516666.6666666665</v>
      </c>
      <c r="N3" s="4">
        <f t="shared" si="3"/>
        <v>0</v>
      </c>
      <c r="O3" s="4">
        <f>SQRT(L3/D3)</f>
        <v>11.547005383792515</v>
      </c>
      <c r="P3" s="4">
        <f>SQRT(K3/D3)</f>
        <v>20.207259421636902</v>
      </c>
    </row>
    <row r="4" spans="1:16" x14ac:dyDescent="0.3">
      <c r="A4" s="1">
        <v>3</v>
      </c>
      <c r="B4" s="2">
        <v>40</v>
      </c>
      <c r="C4" s="2">
        <v>16</v>
      </c>
      <c r="D4" s="2">
        <f>B4*C4</f>
        <v>640</v>
      </c>
      <c r="E4" s="2">
        <f t="shared" si="0"/>
        <v>20</v>
      </c>
      <c r="F4" s="2">
        <f t="shared" si="0"/>
        <v>8</v>
      </c>
      <c r="G4" s="2">
        <v>-23</v>
      </c>
      <c r="H4" s="2">
        <v>18</v>
      </c>
      <c r="I4" s="2">
        <f>D4*G4/D4</f>
        <v>-23</v>
      </c>
      <c r="J4" s="2">
        <f>D4*H4/D4</f>
        <v>18</v>
      </c>
      <c r="K4" s="2">
        <f t="shared" si="1"/>
        <v>221013.33333333334</v>
      </c>
      <c r="L4" s="2">
        <f t="shared" si="2"/>
        <v>423893.33333333331</v>
      </c>
      <c r="M4" s="2">
        <f t="shared" si="4"/>
        <v>644906.66666666663</v>
      </c>
      <c r="N4" s="4">
        <f t="shared" si="3"/>
        <v>-264960</v>
      </c>
      <c r="O4" s="4">
        <f>SQRT(L4/D4)</f>
        <v>25.735837529276822</v>
      </c>
      <c r="P4" s="4">
        <f>SQRT(K4/D4)</f>
        <v>18.58314648635514</v>
      </c>
    </row>
    <row r="5" spans="1:16" x14ac:dyDescent="0.3">
      <c r="A5" s="1">
        <v>4</v>
      </c>
      <c r="B5" s="2">
        <v>30</v>
      </c>
      <c r="C5" s="2">
        <v>40</v>
      </c>
      <c r="D5" s="2">
        <f>B5*C5</f>
        <v>1200</v>
      </c>
      <c r="E5" s="2">
        <f t="shared" si="0"/>
        <v>15</v>
      </c>
      <c r="F5" s="2">
        <f t="shared" si="0"/>
        <v>20</v>
      </c>
      <c r="G5" s="2">
        <v>0</v>
      </c>
      <c r="H5" s="2">
        <v>0</v>
      </c>
      <c r="I5" s="2">
        <f>D5*G5/D5</f>
        <v>0</v>
      </c>
      <c r="J5" s="2">
        <f>D5*H5/D5</f>
        <v>0</v>
      </c>
      <c r="K5" s="2">
        <f t="shared" si="1"/>
        <v>160000</v>
      </c>
      <c r="L5" s="2">
        <f t="shared" si="2"/>
        <v>90000</v>
      </c>
      <c r="M5" s="2">
        <f t="shared" si="4"/>
        <v>250000</v>
      </c>
      <c r="N5" s="4">
        <f t="shared" si="3"/>
        <v>0</v>
      </c>
      <c r="O5" s="4">
        <f>SQRT(L5/D5)</f>
        <v>8.6602540378443873</v>
      </c>
      <c r="P5" s="4">
        <f>SQRT(K5/D5)</f>
        <v>11.547005383792516</v>
      </c>
    </row>
    <row r="6" spans="1:16" x14ac:dyDescent="0.3">
      <c r="K6" s="2">
        <f t="shared" si="1"/>
        <v>0</v>
      </c>
      <c r="L6" s="2">
        <f t="shared" si="2"/>
        <v>0</v>
      </c>
      <c r="M6" s="2">
        <f t="shared" si="4"/>
        <v>0</v>
      </c>
      <c r="N6" s="4">
        <f t="shared" si="3"/>
        <v>0</v>
      </c>
    </row>
    <row r="7" spans="1:16" x14ac:dyDescent="0.3">
      <c r="A7" s="1">
        <v>5</v>
      </c>
      <c r="B7" s="2">
        <v>25</v>
      </c>
      <c r="C7" s="2">
        <v>100</v>
      </c>
      <c r="D7" s="2">
        <f>B7*C7</f>
        <v>2500</v>
      </c>
      <c r="E7" s="2">
        <f>B7/2</f>
        <v>12.5</v>
      </c>
      <c r="F7" s="2">
        <f>C7/2</f>
        <v>50</v>
      </c>
      <c r="G7" s="2">
        <v>12.5</v>
      </c>
      <c r="H7" s="2">
        <v>75</v>
      </c>
      <c r="I7" s="2">
        <f>D7*H7</f>
        <v>187500</v>
      </c>
      <c r="J7" s="2">
        <f>D7*G7</f>
        <v>31250</v>
      </c>
      <c r="K7" s="2">
        <f t="shared" si="1"/>
        <v>16145833.333333334</v>
      </c>
      <c r="L7" s="2">
        <f t="shared" si="2"/>
        <v>520833.33333333331</v>
      </c>
      <c r="M7" s="2">
        <f t="shared" si="4"/>
        <v>16666666.666666668</v>
      </c>
      <c r="N7" s="4">
        <f t="shared" si="3"/>
        <v>2343750</v>
      </c>
      <c r="O7" s="4">
        <f>SQRT(L7/D7)</f>
        <v>14.433756729740644</v>
      </c>
      <c r="P7" s="4">
        <f>SQRT(K7/D7)</f>
        <v>80.363756341607967</v>
      </c>
    </row>
    <row r="8" spans="1:16" x14ac:dyDescent="0.3">
      <c r="A8" s="1">
        <v>6</v>
      </c>
      <c r="B8" s="2">
        <v>100</v>
      </c>
      <c r="C8" s="2">
        <v>25</v>
      </c>
      <c r="D8" s="2">
        <f>B8*C8</f>
        <v>2500</v>
      </c>
      <c r="E8" s="2">
        <f>B8/2</f>
        <v>50</v>
      </c>
      <c r="F8" s="2">
        <f>C8/2</f>
        <v>12.5</v>
      </c>
      <c r="G8" s="2">
        <v>50</v>
      </c>
      <c r="H8" s="2">
        <v>12.5</v>
      </c>
      <c r="I8" s="2">
        <f>D8*H8</f>
        <v>31250</v>
      </c>
      <c r="J8" s="2">
        <f>D8*G8</f>
        <v>125000</v>
      </c>
      <c r="K8" s="2">
        <f t="shared" si="1"/>
        <v>520833.33333333331</v>
      </c>
      <c r="L8" s="2">
        <f t="shared" si="2"/>
        <v>8333333.333333333</v>
      </c>
      <c r="M8" s="2">
        <f t="shared" si="4"/>
        <v>8854166.666666666</v>
      </c>
      <c r="N8" s="4">
        <f t="shared" si="3"/>
        <v>1562500</v>
      </c>
      <c r="O8" s="4">
        <f>SQRT(L8/D8)</f>
        <v>57.735026918962575</v>
      </c>
      <c r="P8" s="4">
        <f>SQRT(K8/D8)</f>
        <v>14.433756729740644</v>
      </c>
    </row>
    <row r="9" spans="1:16" x14ac:dyDescent="0.3">
      <c r="A9" s="1" t="s">
        <v>16</v>
      </c>
      <c r="D9" s="2">
        <f>SUM(D7:D8)</f>
        <v>5000</v>
      </c>
      <c r="E9" s="2">
        <f>SUM(J7:J8)/D9</f>
        <v>31.25</v>
      </c>
      <c r="F9" s="2">
        <f>SUM(I7:I8)/D9</f>
        <v>43.75</v>
      </c>
    </row>
    <row r="10" spans="1:16" x14ac:dyDescent="0.3">
      <c r="A10" s="1" t="s">
        <v>17</v>
      </c>
      <c r="B10" s="2">
        <v>25</v>
      </c>
      <c r="C10" s="2">
        <v>100</v>
      </c>
      <c r="D10" s="2">
        <f>B10*C10</f>
        <v>2500</v>
      </c>
      <c r="E10" s="2">
        <f>B10/2</f>
        <v>12.5</v>
      </c>
      <c r="F10" s="2">
        <f>C10/2</f>
        <v>50</v>
      </c>
      <c r="G10" s="2">
        <f>B10/2-E9</f>
        <v>-18.75</v>
      </c>
      <c r="H10" s="2">
        <f>C11+C10/2-F9</f>
        <v>31.25</v>
      </c>
      <c r="K10" s="2">
        <f>B10*C10^3/12+H10^2*D10</f>
        <v>4524739.583333333</v>
      </c>
      <c r="L10" s="2">
        <f>C10*B10^3/12+G10^2*D10</f>
        <v>1009114.5833333334</v>
      </c>
      <c r="N10" s="4">
        <f>D10*G10*H10</f>
        <v>-1464843.75</v>
      </c>
      <c r="O10" s="4">
        <f>SQRT(L10/D10)</f>
        <v>20.090939085401992</v>
      </c>
      <c r="P10" s="4">
        <f>SQRT(K10/D10)</f>
        <v>42.542870534712783</v>
      </c>
    </row>
    <row r="11" spans="1:16" x14ac:dyDescent="0.3">
      <c r="A11" s="1" t="s">
        <v>18</v>
      </c>
      <c r="B11" s="2">
        <v>100</v>
      </c>
      <c r="C11" s="2">
        <v>25</v>
      </c>
      <c r="D11" s="2">
        <f>B11*C11</f>
        <v>2500</v>
      </c>
      <c r="E11" s="2">
        <f>B11/2</f>
        <v>50</v>
      </c>
      <c r="F11" s="2">
        <f>C11/2</f>
        <v>12.5</v>
      </c>
      <c r="G11" s="2">
        <f>B11/2-E9</f>
        <v>18.75</v>
      </c>
      <c r="H11" s="2">
        <f>C11/2-F9</f>
        <v>-31.25</v>
      </c>
      <c r="K11" s="2">
        <f>B11*C11^3/12+H11^2*D11</f>
        <v>2571614.5833333335</v>
      </c>
      <c r="L11" s="2">
        <f>C11*B11^3/12+G11^2*D11</f>
        <v>2962239.583333333</v>
      </c>
      <c r="N11" s="4">
        <f>D11*G11*H11</f>
        <v>-1464843.75</v>
      </c>
      <c r="O11" s="4">
        <f>SQRT(L11/D11)</f>
        <v>34.422315920538139</v>
      </c>
      <c r="P11" s="4">
        <f>SQRT(K11/D11)</f>
        <v>32.072508996543029</v>
      </c>
    </row>
    <row r="12" spans="1:16" x14ac:dyDescent="0.3">
      <c r="A12" s="1" t="s">
        <v>19</v>
      </c>
      <c r="D12" s="2">
        <f>SUM(D10:D11)</f>
        <v>5000</v>
      </c>
      <c r="K12" s="3">
        <f t="shared" ref="K12:N12" si="5">SUM(K10:K11)</f>
        <v>7096354.166666666</v>
      </c>
      <c r="L12" s="3">
        <f t="shared" si="5"/>
        <v>3971354.1666666665</v>
      </c>
      <c r="M12" s="3">
        <f>SUM(K12:L12)</f>
        <v>11067708.333333332</v>
      </c>
      <c r="N12" s="4">
        <f t="shared" si="5"/>
        <v>-2929687.5</v>
      </c>
      <c r="O12" s="4">
        <f>SQRT(L12/D12)</f>
        <v>28.182810955143086</v>
      </c>
      <c r="P12" s="4">
        <f>SQRT(K12/D12)</f>
        <v>37.673211083385674</v>
      </c>
    </row>
    <row r="13" spans="1:16" x14ac:dyDescent="0.3">
      <c r="A13" s="1">
        <v>7</v>
      </c>
      <c r="B13" s="2">
        <v>30</v>
      </c>
      <c r="C13" s="2">
        <v>50</v>
      </c>
      <c r="D13" s="2">
        <f>B13*C13</f>
        <v>1500</v>
      </c>
      <c r="E13" s="2">
        <f>B13/2</f>
        <v>15</v>
      </c>
      <c r="F13" s="2">
        <f>C13/2</f>
        <v>25</v>
      </c>
      <c r="G13" s="2">
        <v>0</v>
      </c>
      <c r="H13" s="2">
        <v>0</v>
      </c>
      <c r="I13" s="2">
        <f>D13*G13/D13</f>
        <v>0</v>
      </c>
      <c r="J13" s="2">
        <f>D13*H13/D13</f>
        <v>0</v>
      </c>
      <c r="K13" s="2">
        <f>B13*C13^3/12+H13^2*D13</f>
        <v>312500</v>
      </c>
      <c r="L13" s="2">
        <f>C13*B13^3/12+G13^2*D13</f>
        <v>112500</v>
      </c>
      <c r="M13" s="2">
        <f t="shared" ref="M13" si="6">SUM(K13:L13)</f>
        <v>425000</v>
      </c>
      <c r="N13" s="4">
        <f>D13*G13*H13</f>
        <v>0</v>
      </c>
      <c r="O13" s="4">
        <f>SQRT(L13/D13)</f>
        <v>8.6602540378443873</v>
      </c>
      <c r="P13" s="4">
        <f>SQRT(K13/D13)</f>
        <v>14.433756729740644</v>
      </c>
    </row>
    <row r="14" spans="1:16" x14ac:dyDescent="0.3">
      <c r="A14" s="1">
        <v>8</v>
      </c>
      <c r="B14" s="2">
        <v>250</v>
      </c>
      <c r="C14" s="2">
        <v>500</v>
      </c>
      <c r="D14" s="2">
        <f>B14*C14</f>
        <v>125000</v>
      </c>
      <c r="E14" s="2">
        <f>B14/2</f>
        <v>125</v>
      </c>
      <c r="F14" s="2">
        <f>C14/2</f>
        <v>250</v>
      </c>
      <c r="G14" s="2">
        <v>0</v>
      </c>
      <c r="H14" s="2">
        <v>0</v>
      </c>
      <c r="I14" s="2">
        <f>D14*G14/D14</f>
        <v>0</v>
      </c>
      <c r="J14" s="2">
        <f>D14*H14/D14</f>
        <v>0</v>
      </c>
      <c r="K14" s="2">
        <f>B14*C14^3/12+H14^2*D14</f>
        <v>2604166666.6666665</v>
      </c>
      <c r="L14" s="2">
        <f>C14*B14^3/12+G14^2*D14</f>
        <v>651041666.66666663</v>
      </c>
      <c r="M14" s="2">
        <f t="shared" ref="M14" si="7">SUM(K14:L14)</f>
        <v>3255208333.333333</v>
      </c>
      <c r="N14" s="4">
        <f>D14*G14*H14</f>
        <v>0</v>
      </c>
      <c r="O14" s="4">
        <f>SQRT(L14/D14)</f>
        <v>72.168783648703211</v>
      </c>
    </row>
    <row r="15" spans="1:16" x14ac:dyDescent="0.3">
      <c r="E15" s="2">
        <f>250*50*(200+50/2)</f>
        <v>2812500</v>
      </c>
      <c r="G15" s="2">
        <f>250*250*(250/2)</f>
        <v>7812500</v>
      </c>
    </row>
    <row r="16" spans="1:16" x14ac:dyDescent="0.3">
      <c r="A16" s="1">
        <v>9</v>
      </c>
      <c r="B16" s="2">
        <v>400</v>
      </c>
      <c r="C16" s="2">
        <v>600</v>
      </c>
      <c r="D16" s="2">
        <f>B16*C16</f>
        <v>240000</v>
      </c>
      <c r="E16" s="2">
        <f t="shared" ref="E16:F19" si="8">B16/2</f>
        <v>200</v>
      </c>
      <c r="F16" s="2">
        <f t="shared" si="8"/>
        <v>300</v>
      </c>
      <c r="G16" s="2">
        <v>0</v>
      </c>
      <c r="H16" s="2">
        <v>0</v>
      </c>
      <c r="I16" s="2">
        <f>D16*G16/D16</f>
        <v>0</v>
      </c>
      <c r="J16" s="2">
        <f>D16*H16/D16</f>
        <v>0</v>
      </c>
      <c r="K16" s="2">
        <f>B16*C16^3/12+H16^2*D16</f>
        <v>7200000000</v>
      </c>
      <c r="L16" s="2">
        <f>C16*B16^3/12+G16^2*D16</f>
        <v>3200000000</v>
      </c>
      <c r="M16" s="2">
        <f t="shared" ref="M16" si="9">SUM(K16:L16)</f>
        <v>10400000000</v>
      </c>
      <c r="N16" s="4">
        <f>D16*G16*H16</f>
        <v>0</v>
      </c>
      <c r="O16" s="4">
        <f>SQRT(L16/D16)</f>
        <v>115.47005383792515</v>
      </c>
    </row>
    <row r="17" spans="1:15" x14ac:dyDescent="0.3">
      <c r="B17" s="2">
        <v>15</v>
      </c>
      <c r="C17" s="2">
        <v>20</v>
      </c>
      <c r="D17" s="2">
        <f>B17*C17</f>
        <v>300</v>
      </c>
      <c r="E17" s="2">
        <f t="shared" si="8"/>
        <v>7.5</v>
      </c>
      <c r="F17" s="2">
        <f t="shared" si="8"/>
        <v>10</v>
      </c>
      <c r="G17" s="2">
        <v>0</v>
      </c>
      <c r="H17" s="2">
        <v>20</v>
      </c>
      <c r="I17" s="2">
        <f>D17*G17/D17</f>
        <v>0</v>
      </c>
      <c r="J17" s="2">
        <f>D17*H17/D17</f>
        <v>20</v>
      </c>
      <c r="K17" s="2">
        <f>B17*C17^3/12+H17^2*D17</f>
        <v>130000</v>
      </c>
      <c r="L17" s="2">
        <f>C17*B17^3/12+G17^2*D17</f>
        <v>5625</v>
      </c>
      <c r="M17" s="2">
        <f t="shared" ref="M17" si="10">SUM(K17:L17)</f>
        <v>135625</v>
      </c>
      <c r="N17" s="4">
        <f>D17*G17*H17</f>
        <v>0</v>
      </c>
      <c r="O17" s="4">
        <f>SQRT(L17/D17)</f>
        <v>4.3301270189221936</v>
      </c>
    </row>
    <row r="18" spans="1:15" x14ac:dyDescent="0.3">
      <c r="B18" s="2">
        <v>100</v>
      </c>
      <c r="C18" s="2">
        <v>20</v>
      </c>
      <c r="D18" s="2">
        <f>B18*C18</f>
        <v>2000</v>
      </c>
      <c r="E18" s="2">
        <f t="shared" si="8"/>
        <v>50</v>
      </c>
      <c r="F18" s="2">
        <f t="shared" si="8"/>
        <v>10</v>
      </c>
      <c r="G18" s="2">
        <v>0</v>
      </c>
      <c r="H18" s="2">
        <f>130-103.75</f>
        <v>26.25</v>
      </c>
      <c r="I18" s="2">
        <f>D18*G18/D18</f>
        <v>0</v>
      </c>
      <c r="J18" s="2">
        <f>D18*H18/D18</f>
        <v>26.25</v>
      </c>
      <c r="K18" s="3">
        <f>B18*C18^3/12+H18^2*D18</f>
        <v>1444791.6666666667</v>
      </c>
      <c r="L18" s="2">
        <f>C18*B18^3/12+G18^2*D18</f>
        <v>1666666.6666666667</v>
      </c>
      <c r="M18" s="2">
        <f t="shared" ref="M18" si="11">SUM(K18:L18)</f>
        <v>3111458.3333333335</v>
      </c>
      <c r="N18" s="4">
        <f>D18*G18*H18</f>
        <v>0</v>
      </c>
      <c r="O18" s="4">
        <f>SQRT(L18/D18)</f>
        <v>28.867513459481287</v>
      </c>
    </row>
    <row r="19" spans="1:15" x14ac:dyDescent="0.3">
      <c r="B19" s="2">
        <v>10</v>
      </c>
      <c r="C19" s="2">
        <v>120</v>
      </c>
      <c r="D19" s="2">
        <f>B19*C19</f>
        <v>1200</v>
      </c>
      <c r="E19" s="2">
        <f t="shared" si="8"/>
        <v>5</v>
      </c>
      <c r="F19" s="2">
        <f t="shared" si="8"/>
        <v>60</v>
      </c>
      <c r="G19" s="2">
        <v>0</v>
      </c>
      <c r="H19" s="2">
        <f>103.75-60</f>
        <v>43.75</v>
      </c>
      <c r="I19" s="2">
        <f>D19*G19/D19</f>
        <v>0</v>
      </c>
      <c r="J19" s="2">
        <f>D19*H19/D19</f>
        <v>43.75</v>
      </c>
      <c r="K19" s="3">
        <f>B19*C19^3/12+H19^2*D19</f>
        <v>3736875</v>
      </c>
      <c r="L19" s="2">
        <f>C19*B19^3/12+G19^2*D19</f>
        <v>10000</v>
      </c>
      <c r="M19" s="2">
        <f t="shared" ref="M19" si="12">SUM(K19:L19)</f>
        <v>3746875</v>
      </c>
      <c r="N19" s="4">
        <f>D19*G19*H19</f>
        <v>0</v>
      </c>
      <c r="O19" s="4">
        <f>SQRT(L19/D19)</f>
        <v>2.8867513459481291</v>
      </c>
    </row>
    <row r="20" spans="1:15" x14ac:dyDescent="0.3">
      <c r="K20" s="3">
        <f>SUM(K18:K19)</f>
        <v>5181666.666666667</v>
      </c>
      <c r="L20" s="3">
        <f>K20/103.75</f>
        <v>49943.77510040161</v>
      </c>
      <c r="M20" s="3">
        <f>K20/(140-103.75)</f>
        <v>142942.52873563219</v>
      </c>
    </row>
    <row r="21" spans="1:15" x14ac:dyDescent="0.3">
      <c r="B21" s="3">
        <f>700*(120^2+70^2)</f>
        <v>13510000</v>
      </c>
      <c r="G21" s="3"/>
      <c r="H21" s="3"/>
      <c r="K21" s="3"/>
    </row>
    <row r="22" spans="1:15" x14ac:dyDescent="0.3">
      <c r="K22" s="3"/>
    </row>
    <row r="25" spans="1:15" x14ac:dyDescent="0.3">
      <c r="B25" s="2" t="s">
        <v>0</v>
      </c>
      <c r="C25" s="2" t="s">
        <v>20</v>
      </c>
      <c r="D25" s="2" t="s">
        <v>21</v>
      </c>
      <c r="E25" s="2" t="s">
        <v>24</v>
      </c>
      <c r="F25" s="2" t="s">
        <v>25</v>
      </c>
      <c r="G25" s="2" t="s">
        <v>26</v>
      </c>
      <c r="H25" s="2" t="s">
        <v>27</v>
      </c>
      <c r="I25" s="2" t="s">
        <v>22</v>
      </c>
      <c r="J25" s="2" t="s">
        <v>23</v>
      </c>
    </row>
    <row r="26" spans="1:15" x14ac:dyDescent="0.3">
      <c r="A26" s="1">
        <v>1</v>
      </c>
      <c r="B26" s="2">
        <v>1000</v>
      </c>
      <c r="C26" s="2">
        <v>500</v>
      </c>
      <c r="D26" s="2">
        <v>-50</v>
      </c>
      <c r="E26" s="2">
        <f>ATAN(-2*D26/(B26-C26))/2</f>
        <v>9.8697779924940388E-2</v>
      </c>
      <c r="F26" s="3">
        <f>E26*180/PI()</f>
        <v>5.6549662370101066</v>
      </c>
      <c r="G26" s="3">
        <f>(B26+C26)/2</f>
        <v>750</v>
      </c>
      <c r="H26" s="3">
        <f>SQRT((B26-C26)^2/4+D26^2)</f>
        <v>254.95097567963924</v>
      </c>
      <c r="I26" s="3">
        <f>G26+H26</f>
        <v>1004.9509756796392</v>
      </c>
      <c r="J26" s="3">
        <f>G26-H26</f>
        <v>495.04902432036079</v>
      </c>
    </row>
    <row r="27" spans="1:15" x14ac:dyDescent="0.3">
      <c r="A27" s="1">
        <v>2</v>
      </c>
      <c r="B27" s="2">
        <v>5333333.3333333302</v>
      </c>
      <c r="C27" s="2">
        <v>3333333.3333333302</v>
      </c>
      <c r="D27" s="2">
        <v>-2400000</v>
      </c>
      <c r="E27" s="2">
        <f>ATAN(-2*D27/(B27-C27))/2</f>
        <v>0.5880026035475675</v>
      </c>
      <c r="F27" s="3">
        <f>E27*180/PI()</f>
        <v>33.690067525979785</v>
      </c>
      <c r="G27" s="3">
        <f>(B27+C27)/2</f>
        <v>4333333.3333333302</v>
      </c>
      <c r="H27" s="3">
        <f>SQRT((B27-C27)^2/4+D27^2)</f>
        <v>2600000</v>
      </c>
      <c r="I27" s="3">
        <f>G27+H27</f>
        <v>6933333.3333333302</v>
      </c>
      <c r="J27" s="3">
        <f>G27-H27</f>
        <v>1733333.3333333302</v>
      </c>
    </row>
    <row r="28" spans="1:15" x14ac:dyDescent="0.3">
      <c r="A28" s="1">
        <v>3</v>
      </c>
      <c r="B28" s="2">
        <v>532</v>
      </c>
      <c r="C28" s="2">
        <v>740</v>
      </c>
      <c r="D28" s="2">
        <v>345</v>
      </c>
      <c r="E28" s="2">
        <f>ATAN(-2*D28/(B28-C28))/2</f>
        <v>0.6390052264115833</v>
      </c>
      <c r="F28" s="3">
        <f>E28*180/PI()</f>
        <v>36.612302560185327</v>
      </c>
      <c r="G28" s="3">
        <f>(B28+C28)/2</f>
        <v>636</v>
      </c>
      <c r="H28" s="3">
        <f>SQRT((B28-C28)^2/4+D28^2)</f>
        <v>360.33456675706259</v>
      </c>
      <c r="I28" s="3">
        <f>G28+H28</f>
        <v>996.33456675706259</v>
      </c>
      <c r="J28" s="3">
        <f>G28-H28</f>
        <v>275.66543324293741</v>
      </c>
    </row>
    <row r="29" spans="1:15" x14ac:dyDescent="0.3">
      <c r="A29" s="1">
        <v>4</v>
      </c>
      <c r="B29" s="2">
        <f>K13</f>
        <v>312500</v>
      </c>
      <c r="C29" s="2">
        <f>L13</f>
        <v>112500</v>
      </c>
      <c r="D29" s="2">
        <f>N13</f>
        <v>0</v>
      </c>
      <c r="E29" s="2">
        <f>ATAN(-2*D29/(B29-C29))/2</f>
        <v>0</v>
      </c>
      <c r="F29" s="3">
        <f>E29*180/PI()</f>
        <v>0</v>
      </c>
      <c r="G29" s="3">
        <f>(B29+C29)/2</f>
        <v>212500</v>
      </c>
      <c r="H29" s="3">
        <f>SQRT((B29-C29)^2/4+D29^2)</f>
        <v>100000</v>
      </c>
      <c r="I29" s="3">
        <f>G29+H29</f>
        <v>312500</v>
      </c>
      <c r="J29" s="3">
        <f>G29-H29</f>
        <v>112500</v>
      </c>
    </row>
    <row r="31" spans="1:15" x14ac:dyDescent="0.3">
      <c r="C31" s="2">
        <f>7530000/300/500</f>
        <v>50.2</v>
      </c>
    </row>
    <row r="34" spans="1:11" x14ac:dyDescent="0.3">
      <c r="B34" s="2" t="s">
        <v>28</v>
      </c>
      <c r="C34" s="2" t="s">
        <v>32</v>
      </c>
      <c r="D34" s="2" t="s">
        <v>62</v>
      </c>
      <c r="E34" s="2" t="s">
        <v>63</v>
      </c>
      <c r="F34" s="2" t="s">
        <v>29</v>
      </c>
      <c r="G34" s="2" t="s">
        <v>30</v>
      </c>
      <c r="H34" s="2" t="s">
        <v>31</v>
      </c>
      <c r="I34" s="2" t="s">
        <v>33</v>
      </c>
      <c r="J34" s="2" t="s">
        <v>42</v>
      </c>
      <c r="K34" s="2" t="s">
        <v>41</v>
      </c>
    </row>
    <row r="35" spans="1:11" x14ac:dyDescent="0.3">
      <c r="A35" s="1">
        <v>1</v>
      </c>
      <c r="B35" s="2">
        <f>250/2</f>
        <v>125</v>
      </c>
      <c r="C35" s="2">
        <f>500/2</f>
        <v>250</v>
      </c>
      <c r="D35" s="2">
        <f>50/2</f>
        <v>25</v>
      </c>
      <c r="E35" s="2">
        <f t="shared" ref="E35:E43" si="13">C35/2-D35</f>
        <v>100</v>
      </c>
      <c r="F35" s="2">
        <f>1200*1000</f>
        <v>1200000</v>
      </c>
      <c r="G35" s="2">
        <f>B35*D35*(E35+D35/2)</f>
        <v>351562.5</v>
      </c>
      <c r="H35" s="2">
        <f t="shared" ref="H35:H43" si="14">B35*C35^3/12</f>
        <v>162760416.66666666</v>
      </c>
      <c r="I35" s="2">
        <f>F35*G35/H35/B35</f>
        <v>20.736000000000001</v>
      </c>
      <c r="J35" s="5">
        <f>250000000</f>
        <v>250000000</v>
      </c>
      <c r="K35" s="3">
        <f>J35/H35*E35</f>
        <v>153.6</v>
      </c>
    </row>
    <row r="36" spans="1:11" x14ac:dyDescent="0.3">
      <c r="A36" s="1">
        <v>2</v>
      </c>
      <c r="B36" s="2">
        <f>250/2</f>
        <v>125</v>
      </c>
      <c r="C36" s="2">
        <f>500/2</f>
        <v>250</v>
      </c>
      <c r="D36" s="2">
        <f>C36/2</f>
        <v>125</v>
      </c>
      <c r="E36" s="2">
        <f t="shared" si="13"/>
        <v>0</v>
      </c>
      <c r="F36" s="2">
        <f>1200*1000</f>
        <v>1200000</v>
      </c>
      <c r="G36" s="2">
        <f>B36*D36*(E36+D36/2)</f>
        <v>976562.5</v>
      </c>
      <c r="H36" s="2">
        <f t="shared" si="14"/>
        <v>162760416.66666666</v>
      </c>
      <c r="I36" s="2">
        <f>F36*G36/H36/B36</f>
        <v>57.6</v>
      </c>
      <c r="J36" s="5">
        <f t="shared" ref="J36:J37" si="15">250000000</f>
        <v>250000000</v>
      </c>
      <c r="K36" s="3">
        <f t="shared" ref="K36:K37" si="16">J36/H36*E36</f>
        <v>0</v>
      </c>
    </row>
    <row r="37" spans="1:11" x14ac:dyDescent="0.3">
      <c r="A37" s="1">
        <v>3</v>
      </c>
      <c r="B37" s="2">
        <f>250/2</f>
        <v>125</v>
      </c>
      <c r="C37" s="2">
        <f>500/2</f>
        <v>250</v>
      </c>
      <c r="D37" s="2">
        <v>0</v>
      </c>
      <c r="E37" s="2">
        <f t="shared" si="13"/>
        <v>125</v>
      </c>
      <c r="F37" s="2">
        <f>1200*1000</f>
        <v>1200000</v>
      </c>
      <c r="G37" s="2">
        <f>B37*D37*(E37+D37/2)</f>
        <v>0</v>
      </c>
      <c r="H37" s="2">
        <f t="shared" si="14"/>
        <v>162760416.66666666</v>
      </c>
      <c r="I37" s="2">
        <f>F37*G37/H37/B37</f>
        <v>0</v>
      </c>
      <c r="J37" s="5">
        <f t="shared" si="15"/>
        <v>250000000</v>
      </c>
      <c r="K37" s="3">
        <f t="shared" si="16"/>
        <v>192</v>
      </c>
    </row>
    <row r="38" spans="1:11" x14ac:dyDescent="0.3">
      <c r="A38" s="1">
        <v>4</v>
      </c>
      <c r="B38" s="2">
        <v>50</v>
      </c>
      <c r="C38" s="2">
        <v>120</v>
      </c>
      <c r="D38" s="2">
        <f>C38/2</f>
        <v>60</v>
      </c>
      <c r="E38" s="2">
        <f t="shared" si="13"/>
        <v>0</v>
      </c>
      <c r="F38" s="2">
        <f>75*1000</f>
        <v>75000</v>
      </c>
      <c r="G38" s="2">
        <f>B38*D38*(E38+D38/2)</f>
        <v>90000</v>
      </c>
      <c r="H38" s="2">
        <f t="shared" si="14"/>
        <v>7200000</v>
      </c>
      <c r="I38" s="2">
        <f>F38*G38/H38/B38</f>
        <v>18.75</v>
      </c>
      <c r="J38" s="5"/>
      <c r="K38" s="3"/>
    </row>
    <row r="39" spans="1:11" x14ac:dyDescent="0.3">
      <c r="A39" s="1">
        <v>5</v>
      </c>
      <c r="B39" s="2">
        <v>400</v>
      </c>
      <c r="C39" s="2">
        <v>600</v>
      </c>
      <c r="D39" s="2">
        <v>300</v>
      </c>
      <c r="E39" s="2">
        <f t="shared" si="13"/>
        <v>0</v>
      </c>
      <c r="F39" s="2">
        <v>500000</v>
      </c>
      <c r="G39" s="2">
        <f>B39*D39*(E39+D39/2)</f>
        <v>18000000</v>
      </c>
      <c r="H39" s="2">
        <f t="shared" si="14"/>
        <v>7200000000</v>
      </c>
      <c r="I39" s="2">
        <f>F39*G39/H39/B39</f>
        <v>3.125</v>
      </c>
      <c r="J39" s="5"/>
      <c r="K39" s="3"/>
    </row>
    <row r="40" spans="1:11" x14ac:dyDescent="0.3">
      <c r="A40" s="1">
        <v>5</v>
      </c>
      <c r="B40" s="2">
        <v>400</v>
      </c>
      <c r="C40" s="2">
        <v>600</v>
      </c>
      <c r="D40" s="2">
        <v>0</v>
      </c>
      <c r="E40" s="2">
        <f t="shared" si="13"/>
        <v>300</v>
      </c>
      <c r="H40" s="2">
        <f t="shared" si="14"/>
        <v>7200000000</v>
      </c>
      <c r="J40" s="5">
        <f>750000000</f>
        <v>750000000</v>
      </c>
      <c r="K40" s="3">
        <f t="shared" ref="K40" si="17">J40/H40*E40</f>
        <v>31.25</v>
      </c>
    </row>
    <row r="41" spans="1:11" x14ac:dyDescent="0.3">
      <c r="A41" s="1">
        <v>6</v>
      </c>
      <c r="B41" s="2">
        <v>300</v>
      </c>
      <c r="C41" s="2">
        <v>500</v>
      </c>
      <c r="D41" s="2">
        <v>250</v>
      </c>
      <c r="E41" s="2">
        <f t="shared" si="13"/>
        <v>0</v>
      </c>
      <c r="F41" s="2">
        <v>2000000</v>
      </c>
      <c r="G41" s="2">
        <f>B41*D41*(E41+D41/2)</f>
        <v>9375000</v>
      </c>
      <c r="H41" s="2">
        <f t="shared" si="14"/>
        <v>3125000000</v>
      </c>
      <c r="I41" s="2">
        <f>F41*G41/H41/B41</f>
        <v>20</v>
      </c>
      <c r="J41" s="5"/>
      <c r="K41" s="3"/>
    </row>
    <row r="42" spans="1:11" x14ac:dyDescent="0.3">
      <c r="A42" s="1">
        <v>6</v>
      </c>
      <c r="B42" s="2">
        <v>300</v>
      </c>
      <c r="C42" s="2">
        <v>500</v>
      </c>
      <c r="D42" s="2">
        <v>0</v>
      </c>
      <c r="E42" s="2">
        <f t="shared" si="13"/>
        <v>250</v>
      </c>
      <c r="H42" s="2">
        <f t="shared" si="14"/>
        <v>3125000000</v>
      </c>
      <c r="J42" s="5">
        <f>6000000000</f>
        <v>6000000000</v>
      </c>
      <c r="K42" s="3">
        <f t="shared" ref="K42:K43" si="18">J42/H42*E42</f>
        <v>480</v>
      </c>
    </row>
    <row r="43" spans="1:11" x14ac:dyDescent="0.3">
      <c r="A43" s="1">
        <v>7</v>
      </c>
      <c r="B43" s="2">
        <v>240</v>
      </c>
      <c r="C43" s="2">
        <v>360</v>
      </c>
      <c r="D43" s="2">
        <f>C43/2-40</f>
        <v>140</v>
      </c>
      <c r="E43" s="2">
        <f t="shared" si="13"/>
        <v>40</v>
      </c>
      <c r="F43" s="2">
        <f>240*1000</f>
        <v>240000</v>
      </c>
      <c r="G43" s="2">
        <f>B43*D43*(E43+D43/2)</f>
        <v>3696000</v>
      </c>
      <c r="H43" s="2">
        <f t="shared" si="14"/>
        <v>933120000</v>
      </c>
      <c r="I43" s="2">
        <f t="shared" ref="I43:I52" si="19">F43*G43/H43/B43</f>
        <v>3.9609053497942388</v>
      </c>
      <c r="J43" s="5">
        <v>720000000</v>
      </c>
      <c r="K43" s="3">
        <f t="shared" si="18"/>
        <v>30.864197530864196</v>
      </c>
    </row>
    <row r="44" spans="1:11" x14ac:dyDescent="0.3">
      <c r="A44" s="1">
        <v>8</v>
      </c>
      <c r="B44" s="2">
        <v>300</v>
      </c>
      <c r="C44" s="2">
        <v>500</v>
      </c>
      <c r="D44" s="2">
        <v>250</v>
      </c>
      <c r="E44" s="2">
        <f t="shared" ref="E44" si="20">C44/2-D44</f>
        <v>0</v>
      </c>
      <c r="F44" s="2">
        <v>753000</v>
      </c>
      <c r="G44" s="2">
        <f>B44*D44*(E44+D44/2)</f>
        <v>9375000</v>
      </c>
      <c r="H44" s="2">
        <f t="shared" ref="H44" si="21">B44*C44^3/12</f>
        <v>3125000000</v>
      </c>
      <c r="I44" s="2">
        <f t="shared" si="19"/>
        <v>7.53</v>
      </c>
      <c r="J44" s="5"/>
      <c r="K44" s="3"/>
    </row>
    <row r="45" spans="1:11" x14ac:dyDescent="0.3">
      <c r="A45" s="1">
        <v>9</v>
      </c>
      <c r="B45" s="2">
        <v>10</v>
      </c>
      <c r="F45" s="2">
        <v>92650</v>
      </c>
      <c r="G45" s="2">
        <f>100*20*70+10*60*30</f>
        <v>158000</v>
      </c>
      <c r="H45" s="2">
        <f>100*160^3/12-90*120^3/12</f>
        <v>21173333.333333336</v>
      </c>
      <c r="I45" s="3">
        <f t="shared" si="19"/>
        <v>69.137437027707804</v>
      </c>
      <c r="J45" s="5"/>
      <c r="K45" s="3"/>
    </row>
    <row r="46" spans="1:11" x14ac:dyDescent="0.3">
      <c r="A46" s="1">
        <v>10</v>
      </c>
      <c r="B46" s="2">
        <v>10</v>
      </c>
      <c r="F46" s="2">
        <v>92650</v>
      </c>
      <c r="G46" s="2">
        <f>100*20*70+10*30*45</f>
        <v>153500</v>
      </c>
      <c r="H46" s="2">
        <f>100*160^3/12-90*120^3/12</f>
        <v>21173333.333333336</v>
      </c>
      <c r="I46" s="3">
        <f t="shared" si="19"/>
        <v>67.168332808564216</v>
      </c>
      <c r="J46" s="5"/>
      <c r="K46" s="3"/>
    </row>
    <row r="47" spans="1:11" x14ac:dyDescent="0.3">
      <c r="A47" s="1">
        <v>11</v>
      </c>
      <c r="B47" s="2">
        <v>200</v>
      </c>
      <c r="C47" s="2">
        <v>360</v>
      </c>
      <c r="D47" s="2">
        <v>0</v>
      </c>
      <c r="E47" s="2">
        <f t="shared" ref="E47" si="22">C47/2-D47</f>
        <v>180</v>
      </c>
      <c r="G47" s="2">
        <f t="shared" ref="G47:G52" si="23">B47*D47*(E47+D47/2)</f>
        <v>0</v>
      </c>
      <c r="H47" s="2">
        <f t="shared" ref="H47" si="24">B47*C47^3/12</f>
        <v>777600000</v>
      </c>
      <c r="I47" s="2">
        <f t="shared" si="19"/>
        <v>0</v>
      </c>
      <c r="J47" s="5">
        <f>350*1000000</f>
        <v>350000000</v>
      </c>
      <c r="K47" s="3">
        <f t="shared" ref="K47" si="25">J47/H47*E47</f>
        <v>81.018518518518519</v>
      </c>
    </row>
    <row r="48" spans="1:11" x14ac:dyDescent="0.3">
      <c r="A48" s="1">
        <v>11</v>
      </c>
      <c r="B48" s="2">
        <v>200</v>
      </c>
      <c r="C48" s="2">
        <v>360</v>
      </c>
      <c r="D48" s="2">
        <f>C48/2</f>
        <v>180</v>
      </c>
      <c r="E48" s="2">
        <f t="shared" ref="E48:E49" si="26">C48/2-D48</f>
        <v>0</v>
      </c>
      <c r="G48" s="2">
        <f t="shared" si="23"/>
        <v>3240000</v>
      </c>
      <c r="H48" s="2">
        <f t="shared" ref="H48:H49" si="27">B48*C48^3/12</f>
        <v>777600000</v>
      </c>
      <c r="I48" s="2">
        <f t="shared" si="19"/>
        <v>0</v>
      </c>
      <c r="J48" s="5">
        <f>350*1000000</f>
        <v>350000000</v>
      </c>
      <c r="K48" s="3">
        <f t="shared" ref="K48:K49" si="28">J48/H48*E48</f>
        <v>0</v>
      </c>
    </row>
    <row r="49" spans="1:11" x14ac:dyDescent="0.3">
      <c r="A49" s="1">
        <v>12</v>
      </c>
      <c r="B49" s="2">
        <v>100</v>
      </c>
      <c r="C49" s="2">
        <v>220</v>
      </c>
      <c r="D49" s="2">
        <v>0</v>
      </c>
      <c r="E49" s="2">
        <f t="shared" si="26"/>
        <v>110</v>
      </c>
      <c r="G49" s="2">
        <f t="shared" si="23"/>
        <v>0</v>
      </c>
      <c r="H49" s="2">
        <f t="shared" si="27"/>
        <v>88733333.333333328</v>
      </c>
      <c r="I49" s="2">
        <f t="shared" si="19"/>
        <v>0</v>
      </c>
      <c r="J49" s="5">
        <f>76.3*1000000</f>
        <v>76300000</v>
      </c>
      <c r="K49" s="3">
        <f t="shared" si="28"/>
        <v>94.586776859504141</v>
      </c>
    </row>
    <row r="50" spans="1:11" x14ac:dyDescent="0.3">
      <c r="A50" s="1">
        <v>12</v>
      </c>
      <c r="B50" s="2">
        <v>100</v>
      </c>
      <c r="C50" s="2">
        <v>220</v>
      </c>
      <c r="D50" s="2">
        <v>35</v>
      </c>
      <c r="E50" s="2">
        <f t="shared" ref="E50:E51" si="29">C50/2-D50</f>
        <v>75</v>
      </c>
      <c r="G50" s="2">
        <f t="shared" si="23"/>
        <v>323750</v>
      </c>
      <c r="H50" s="2">
        <f t="shared" ref="H50:H51" si="30">B50*C50^3/12</f>
        <v>88733333.333333328</v>
      </c>
      <c r="I50" s="2">
        <f t="shared" si="19"/>
        <v>0</v>
      </c>
      <c r="J50" s="5">
        <f t="shared" ref="J50:J52" si="31">76.3*1000000</f>
        <v>76300000</v>
      </c>
      <c r="K50" s="3">
        <f t="shared" ref="K50:K51" si="32">J50/H50*E50</f>
        <v>64.490984222389187</v>
      </c>
    </row>
    <row r="51" spans="1:11" x14ac:dyDescent="0.3">
      <c r="A51" s="1">
        <v>12</v>
      </c>
      <c r="B51" s="2">
        <v>100</v>
      </c>
      <c r="C51" s="2">
        <v>220</v>
      </c>
      <c r="D51" s="2">
        <v>60</v>
      </c>
      <c r="E51" s="2">
        <f t="shared" si="29"/>
        <v>50</v>
      </c>
      <c r="G51" s="2">
        <f t="shared" si="23"/>
        <v>480000</v>
      </c>
      <c r="H51" s="2">
        <f t="shared" si="30"/>
        <v>88733333.333333328</v>
      </c>
      <c r="I51" s="2">
        <f t="shared" si="19"/>
        <v>0</v>
      </c>
      <c r="J51" s="5">
        <f t="shared" si="31"/>
        <v>76300000</v>
      </c>
      <c r="K51" s="3">
        <f t="shared" si="32"/>
        <v>42.993989481592791</v>
      </c>
    </row>
    <row r="52" spans="1:11" x14ac:dyDescent="0.3">
      <c r="A52" s="1">
        <v>12</v>
      </c>
      <c r="B52" s="2">
        <v>100</v>
      </c>
      <c r="C52" s="2">
        <v>220</v>
      </c>
      <c r="D52" s="2">
        <v>85</v>
      </c>
      <c r="E52" s="2">
        <f t="shared" ref="E52" si="33">C52/2-D52</f>
        <v>25</v>
      </c>
      <c r="G52" s="2">
        <f t="shared" si="23"/>
        <v>573750</v>
      </c>
      <c r="H52" s="2">
        <f t="shared" ref="H52" si="34">B52*C52^3/12</f>
        <v>88733333.333333328</v>
      </c>
      <c r="I52" s="2">
        <f t="shared" si="19"/>
        <v>0</v>
      </c>
      <c r="J52" s="5">
        <f t="shared" si="31"/>
        <v>76300000</v>
      </c>
      <c r="K52" s="3">
        <f t="shared" ref="K52" si="35">J52/H52*E52</f>
        <v>21.496994740796396</v>
      </c>
    </row>
    <row r="53" spans="1:11" x14ac:dyDescent="0.3">
      <c r="A53" s="1">
        <v>13</v>
      </c>
      <c r="B53" s="2">
        <v>10</v>
      </c>
      <c r="E53" s="2">
        <v>0</v>
      </c>
      <c r="H53" s="2">
        <f>100*160^3/12-90*120^3/12</f>
        <v>21173333.333333336</v>
      </c>
      <c r="J53" s="5">
        <f>73*1000000</f>
        <v>73000000</v>
      </c>
      <c r="K53" s="3">
        <f t="shared" ref="K53:K54" si="36">J53/H53*E53</f>
        <v>0</v>
      </c>
    </row>
    <row r="54" spans="1:11" x14ac:dyDescent="0.3">
      <c r="A54" s="1">
        <v>13</v>
      </c>
      <c r="B54" s="2">
        <v>10</v>
      </c>
      <c r="E54" s="2">
        <v>30</v>
      </c>
      <c r="H54" s="2">
        <f>100*160^3/12-90*120^3/12</f>
        <v>21173333.333333336</v>
      </c>
      <c r="J54" s="5">
        <f>73*1000000</f>
        <v>73000000</v>
      </c>
      <c r="K54" s="3">
        <f t="shared" si="36"/>
        <v>103.43198992443322</v>
      </c>
    </row>
    <row r="55" spans="1:11" x14ac:dyDescent="0.3">
      <c r="A55" s="1">
        <v>13</v>
      </c>
      <c r="B55" s="2">
        <v>10</v>
      </c>
      <c r="E55" s="2">
        <v>60</v>
      </c>
      <c r="H55" s="2">
        <f>100*160^3/12-90*120^3/12</f>
        <v>21173333.333333336</v>
      </c>
      <c r="J55" s="5">
        <f>73*1000000</f>
        <v>73000000</v>
      </c>
      <c r="K55" s="3">
        <f t="shared" ref="K55:K59" si="37">J55/H55*E55</f>
        <v>206.86397984886645</v>
      </c>
    </row>
    <row r="56" spans="1:11" x14ac:dyDescent="0.3">
      <c r="A56" s="1">
        <v>13</v>
      </c>
      <c r="B56" s="2">
        <v>10</v>
      </c>
      <c r="E56" s="2">
        <v>80</v>
      </c>
      <c r="H56" s="2">
        <f>100*160^3/12-90*120^3/12</f>
        <v>21173333.333333336</v>
      </c>
      <c r="J56" s="5">
        <f>73*1000000</f>
        <v>73000000</v>
      </c>
      <c r="K56" s="3">
        <f t="shared" si="37"/>
        <v>275.81863979848862</v>
      </c>
    </row>
    <row r="57" spans="1:11" x14ac:dyDescent="0.3">
      <c r="A57" s="1">
        <v>14</v>
      </c>
      <c r="B57" s="2">
        <v>200</v>
      </c>
      <c r="C57" s="2">
        <v>360</v>
      </c>
      <c r="D57" s="2">
        <v>0</v>
      </c>
      <c r="E57" s="2">
        <f t="shared" ref="E57:E58" si="38">C57/2-D57</f>
        <v>180</v>
      </c>
      <c r="F57" s="2">
        <f>80*4/2*1000</f>
        <v>160000</v>
      </c>
      <c r="G57" s="2">
        <f>B57*D57*(E57+D57/2)</f>
        <v>0</v>
      </c>
      <c r="H57" s="2">
        <f t="shared" ref="H57" si="39">B57*C57^3/12</f>
        <v>777600000</v>
      </c>
      <c r="I57" s="3">
        <f>F57*G57/H57/B57</f>
        <v>0</v>
      </c>
      <c r="J57" s="5">
        <f>80*4^2/8*1000000</f>
        <v>160000000</v>
      </c>
      <c r="K57" s="3">
        <f t="shared" ref="K57" si="40">J57/H57*E57</f>
        <v>37.037037037037038</v>
      </c>
    </row>
    <row r="58" spans="1:11" x14ac:dyDescent="0.3">
      <c r="A58" s="1">
        <v>14</v>
      </c>
      <c r="B58" s="2">
        <v>200</v>
      </c>
      <c r="C58" s="2">
        <v>360</v>
      </c>
      <c r="D58" s="2">
        <f>C58/2</f>
        <v>180</v>
      </c>
      <c r="E58" s="2">
        <f t="shared" si="38"/>
        <v>0</v>
      </c>
      <c r="F58" s="2">
        <f>80*4/2*1000</f>
        <v>160000</v>
      </c>
      <c r="G58" s="2">
        <f>B58*D58*(E58+D58/2)</f>
        <v>3240000</v>
      </c>
      <c r="H58" s="2">
        <f t="shared" ref="H58:H59" si="41">B58*C58^3/12</f>
        <v>777600000</v>
      </c>
      <c r="I58" s="3">
        <f>F58*G58/H58/B58</f>
        <v>3.333333333333333</v>
      </c>
      <c r="J58" s="5">
        <f>80*4^2/8*1000000</f>
        <v>160000000</v>
      </c>
      <c r="K58" s="3">
        <f t="shared" si="37"/>
        <v>0</v>
      </c>
    </row>
    <row r="59" spans="1:11" x14ac:dyDescent="0.3">
      <c r="A59" s="1">
        <v>15</v>
      </c>
      <c r="B59" s="2">
        <v>360</v>
      </c>
      <c r="C59" s="2">
        <v>600</v>
      </c>
      <c r="D59" s="2">
        <f>C59/2-50</f>
        <v>250</v>
      </c>
      <c r="E59" s="2">
        <f t="shared" ref="E59" si="42">C59/2-D59</f>
        <v>50</v>
      </c>
      <c r="F59" s="2">
        <f>350*6*1000</f>
        <v>2100000</v>
      </c>
      <c r="G59" s="2">
        <f>B59*D59*(E59+D59/2)</f>
        <v>15750000</v>
      </c>
      <c r="H59" s="5">
        <f t="shared" si="41"/>
        <v>6480000000</v>
      </c>
      <c r="I59" s="3">
        <f>F59*G59/H59/B59</f>
        <v>14.178240740740742</v>
      </c>
      <c r="J59" s="5">
        <f>350*6*3*1000000</f>
        <v>6300000000</v>
      </c>
      <c r="K59" s="3">
        <f t="shared" si="37"/>
        <v>48.611111111111107</v>
      </c>
    </row>
    <row r="66" spans="1:13" x14ac:dyDescent="0.3">
      <c r="B66" s="2" t="s">
        <v>34</v>
      </c>
      <c r="C66" s="2" t="s">
        <v>35</v>
      </c>
      <c r="D66" s="2" t="s">
        <v>36</v>
      </c>
      <c r="E66" s="2" t="s">
        <v>24</v>
      </c>
      <c r="F66" s="2" t="s">
        <v>25</v>
      </c>
      <c r="G66" s="2" t="s">
        <v>26</v>
      </c>
      <c r="H66" s="2" t="s">
        <v>27</v>
      </c>
      <c r="I66" s="2" t="s">
        <v>37</v>
      </c>
      <c r="J66" s="2" t="s">
        <v>38</v>
      </c>
      <c r="K66" s="2" t="s">
        <v>39</v>
      </c>
      <c r="L66" s="2" t="s">
        <v>40</v>
      </c>
    </row>
    <row r="67" spans="1:13" x14ac:dyDescent="0.3">
      <c r="A67" s="1">
        <v>1</v>
      </c>
      <c r="B67" s="3">
        <v>1000</v>
      </c>
      <c r="C67" s="3">
        <v>500</v>
      </c>
      <c r="D67" s="3">
        <v>-50</v>
      </c>
      <c r="E67" s="3">
        <f t="shared" ref="E67:E73" si="43">ATAN(-2*D67/(B67-C67))/2</f>
        <v>9.8697779924940388E-2</v>
      </c>
      <c r="F67" s="3">
        <f t="shared" ref="F67:F73" si="44">E67*180/PI()</f>
        <v>5.6549662370101066</v>
      </c>
      <c r="G67" s="3">
        <f t="shared" ref="G67:G73" si="45">(B67+C67)/2</f>
        <v>750</v>
      </c>
      <c r="H67" s="3">
        <f t="shared" ref="H67:H73" si="46">SQRT((B67-C67)^2/4+D67^2)</f>
        <v>254.95097567963924</v>
      </c>
      <c r="I67" s="3">
        <f t="shared" ref="I67:I73" si="47">G67+H67</f>
        <v>1004.9509756796392</v>
      </c>
      <c r="J67" s="3">
        <f t="shared" ref="J67:J73" si="48">G67-H67</f>
        <v>495.04902432036079</v>
      </c>
      <c r="K67" s="3">
        <f t="shared" ref="K67:K71" si="49">F67+45</f>
        <v>50.654966237010107</v>
      </c>
      <c r="L67" s="3">
        <f t="shared" ref="L67:L71" si="50">K67-90</f>
        <v>-39.345033762989893</v>
      </c>
      <c r="M67" s="3"/>
    </row>
    <row r="68" spans="1:13" x14ac:dyDescent="0.3">
      <c r="A68" s="1">
        <v>2</v>
      </c>
      <c r="B68" s="3">
        <v>5333333.3333333302</v>
      </c>
      <c r="C68" s="3">
        <v>3333333.3333333302</v>
      </c>
      <c r="D68" s="3">
        <v>-2400000</v>
      </c>
      <c r="E68" s="3">
        <f t="shared" si="43"/>
        <v>0.5880026035475675</v>
      </c>
      <c r="F68" s="3">
        <f t="shared" si="44"/>
        <v>33.690067525979785</v>
      </c>
      <c r="G68" s="3">
        <f t="shared" si="45"/>
        <v>4333333.3333333302</v>
      </c>
      <c r="H68" s="3">
        <f t="shared" si="46"/>
        <v>2600000</v>
      </c>
      <c r="I68" s="3">
        <f t="shared" si="47"/>
        <v>6933333.3333333302</v>
      </c>
      <c r="J68" s="3">
        <f t="shared" si="48"/>
        <v>1733333.3333333302</v>
      </c>
      <c r="K68" s="3">
        <f t="shared" si="49"/>
        <v>78.690067525979785</v>
      </c>
      <c r="L68" s="3">
        <f t="shared" si="50"/>
        <v>-11.309932474020215</v>
      </c>
      <c r="M68" s="3"/>
    </row>
    <row r="69" spans="1:13" x14ac:dyDescent="0.3">
      <c r="A69" s="1">
        <v>3</v>
      </c>
      <c r="B69" s="3">
        <v>532</v>
      </c>
      <c r="C69" s="3">
        <v>740</v>
      </c>
      <c r="D69" s="3">
        <v>345</v>
      </c>
      <c r="E69" s="3">
        <f t="shared" si="43"/>
        <v>0.6390052264115833</v>
      </c>
      <c r="F69" s="3">
        <f t="shared" si="44"/>
        <v>36.612302560185327</v>
      </c>
      <c r="G69" s="3">
        <f t="shared" si="45"/>
        <v>636</v>
      </c>
      <c r="H69" s="3">
        <f t="shared" si="46"/>
        <v>360.33456675706259</v>
      </c>
      <c r="I69" s="3">
        <f t="shared" si="47"/>
        <v>996.33456675706259</v>
      </c>
      <c r="J69" s="3">
        <f t="shared" si="48"/>
        <v>275.66543324293741</v>
      </c>
      <c r="K69" s="3">
        <f t="shared" si="49"/>
        <v>81.612302560185327</v>
      </c>
      <c r="L69" s="3">
        <f t="shared" si="50"/>
        <v>-8.3876974398146729</v>
      </c>
      <c r="M69" s="3"/>
    </row>
    <row r="70" spans="1:13" x14ac:dyDescent="0.3">
      <c r="A70" s="1">
        <v>4</v>
      </c>
      <c r="B70" s="3">
        <v>300</v>
      </c>
      <c r="C70" s="3">
        <v>150</v>
      </c>
      <c r="D70" s="3">
        <v>200</v>
      </c>
      <c r="E70" s="3">
        <f t="shared" si="43"/>
        <v>-0.60601282826216218</v>
      </c>
      <c r="F70" s="3">
        <f t="shared" si="44"/>
        <v>-34.721977390208266</v>
      </c>
      <c r="G70" s="3">
        <f t="shared" si="45"/>
        <v>225</v>
      </c>
      <c r="H70" s="3">
        <f t="shared" si="46"/>
        <v>213.60009363293827</v>
      </c>
      <c r="I70" s="3">
        <f t="shared" si="47"/>
        <v>438.6000936329383</v>
      </c>
      <c r="J70" s="3">
        <f t="shared" si="48"/>
        <v>11.399906367061732</v>
      </c>
      <c r="K70" s="3">
        <f t="shared" si="49"/>
        <v>10.278022609791734</v>
      </c>
      <c r="L70" s="3">
        <f t="shared" si="50"/>
        <v>-79.721977390208266</v>
      </c>
      <c r="M70" s="3"/>
    </row>
    <row r="71" spans="1:13" x14ac:dyDescent="0.3">
      <c r="A71" s="1">
        <v>5</v>
      </c>
      <c r="B71" s="3">
        <v>50</v>
      </c>
      <c r="C71" s="3">
        <v>-10</v>
      </c>
      <c r="D71" s="3">
        <v>40</v>
      </c>
      <c r="E71" s="3">
        <f t="shared" si="43"/>
        <v>-0.46364760900080609</v>
      </c>
      <c r="F71" s="3">
        <f t="shared" si="44"/>
        <v>-26.56505117707799</v>
      </c>
      <c r="G71" s="3">
        <f t="shared" si="45"/>
        <v>20</v>
      </c>
      <c r="H71" s="3">
        <f t="shared" si="46"/>
        <v>50</v>
      </c>
      <c r="I71" s="3">
        <f t="shared" si="47"/>
        <v>70</v>
      </c>
      <c r="J71" s="3">
        <f t="shared" si="48"/>
        <v>-30</v>
      </c>
      <c r="K71" s="3">
        <f t="shared" si="49"/>
        <v>18.43494882292201</v>
      </c>
      <c r="L71" s="3">
        <f t="shared" si="50"/>
        <v>-71.56505117707799</v>
      </c>
      <c r="M71" s="3"/>
    </row>
    <row r="72" spans="1:13" x14ac:dyDescent="0.3">
      <c r="A72" s="1">
        <v>6</v>
      </c>
      <c r="B72" s="3">
        <v>800</v>
      </c>
      <c r="C72" s="3">
        <v>400</v>
      </c>
      <c r="D72" s="3">
        <v>-550</v>
      </c>
      <c r="E72" s="3">
        <f t="shared" si="43"/>
        <v>0.61101266160549483</v>
      </c>
      <c r="F72" s="3">
        <f t="shared" si="44"/>
        <v>35.008446739050015</v>
      </c>
      <c r="G72" s="3">
        <f t="shared" si="45"/>
        <v>600</v>
      </c>
      <c r="H72" s="3">
        <f t="shared" si="46"/>
        <v>585.23499553598128</v>
      </c>
      <c r="I72" s="3">
        <f t="shared" si="47"/>
        <v>1185.2349955359814</v>
      </c>
      <c r="J72" s="3">
        <f t="shared" si="48"/>
        <v>14.765004464018716</v>
      </c>
      <c r="K72" s="3">
        <f t="shared" ref="K72:K79" si="51">F72+45</f>
        <v>80.008446739050015</v>
      </c>
      <c r="L72" s="3">
        <f t="shared" ref="L72:L79" si="52">K72-90</f>
        <v>-9.9915532609499849</v>
      </c>
      <c r="M72" s="3"/>
    </row>
    <row r="73" spans="1:13" x14ac:dyDescent="0.3">
      <c r="A73" s="1">
        <v>7</v>
      </c>
      <c r="B73" s="3">
        <f>K43</f>
        <v>30.864197530864196</v>
      </c>
      <c r="C73" s="3">
        <v>0</v>
      </c>
      <c r="D73" s="3">
        <f>I43</f>
        <v>3.9609053497942388</v>
      </c>
      <c r="E73" s="3">
        <f t="shared" si="43"/>
        <v>-0.12562163201205953</v>
      </c>
      <c r="F73" s="3">
        <f t="shared" si="44"/>
        <v>-7.1975893298365268</v>
      </c>
      <c r="G73" s="3">
        <f t="shared" si="45"/>
        <v>15.432098765432098</v>
      </c>
      <c r="H73" s="3">
        <f t="shared" si="46"/>
        <v>15.932308165990248</v>
      </c>
      <c r="I73" s="3">
        <f t="shared" si="47"/>
        <v>31.364406931422344</v>
      </c>
      <c r="J73" s="3">
        <f t="shared" si="48"/>
        <v>-0.50020940055815011</v>
      </c>
      <c r="K73" s="3">
        <f t="shared" si="51"/>
        <v>37.802410670163475</v>
      </c>
      <c r="L73" s="3">
        <f t="shared" si="52"/>
        <v>-52.197589329836525</v>
      </c>
      <c r="M73" s="3">
        <f>L73*2</f>
        <v>-104.39517865967305</v>
      </c>
    </row>
    <row r="74" spans="1:13" x14ac:dyDescent="0.3">
      <c r="A74" s="1">
        <v>8</v>
      </c>
      <c r="B74" s="3">
        <v>-150</v>
      </c>
      <c r="C74" s="3">
        <v>352</v>
      </c>
      <c r="D74" s="3">
        <v>-24</v>
      </c>
      <c r="E74" s="3">
        <f t="shared" ref="E74:E78" si="53">ATAN(-2*D74/(B74-C74))/2</f>
        <v>-4.7663858426665248E-2</v>
      </c>
      <c r="F74" s="3">
        <f t="shared" ref="F74:F78" si="54">E74*180/PI()</f>
        <v>-2.7309379231569828</v>
      </c>
      <c r="G74" s="3">
        <f t="shared" ref="G74:G78" si="55">(B74+C74)/2</f>
        <v>101</v>
      </c>
      <c r="H74" s="3">
        <f t="shared" ref="H74:H78" si="56">SQRT((B74-C74)^2/4+D74^2)</f>
        <v>252.14479966876175</v>
      </c>
      <c r="I74" s="3">
        <f t="shared" ref="I74:I78" si="57">G74+H74</f>
        <v>353.14479966876172</v>
      </c>
      <c r="J74" s="3">
        <f t="shared" ref="J74:J78" si="58">G74-H74</f>
        <v>-151.14479966876175</v>
      </c>
      <c r="K74" s="3">
        <f t="shared" si="51"/>
        <v>42.269062076843014</v>
      </c>
      <c r="L74" s="3">
        <f t="shared" si="52"/>
        <v>-47.730937923156986</v>
      </c>
      <c r="M74" s="3">
        <f>L74*2</f>
        <v>-95.461875846313973</v>
      </c>
    </row>
    <row r="75" spans="1:13" x14ac:dyDescent="0.3">
      <c r="A75" s="1">
        <v>9</v>
      </c>
      <c r="B75" s="3">
        <v>-400</v>
      </c>
      <c r="C75" s="3">
        <v>-300</v>
      </c>
      <c r="D75" s="3">
        <v>120</v>
      </c>
      <c r="E75" s="3">
        <f t="shared" si="53"/>
        <v>0.5880026035475675</v>
      </c>
      <c r="F75" s="3">
        <f t="shared" si="54"/>
        <v>33.690067525979785</v>
      </c>
      <c r="G75" s="3">
        <f t="shared" si="55"/>
        <v>-350</v>
      </c>
      <c r="H75" s="3">
        <f t="shared" si="56"/>
        <v>130</v>
      </c>
      <c r="I75" s="3">
        <f t="shared" si="57"/>
        <v>-220</v>
      </c>
      <c r="J75" s="3">
        <f t="shared" si="58"/>
        <v>-480</v>
      </c>
      <c r="K75" s="3">
        <f t="shared" si="51"/>
        <v>78.690067525979785</v>
      </c>
      <c r="L75" s="3">
        <f t="shared" si="52"/>
        <v>-11.309932474020215</v>
      </c>
      <c r="M75" s="3"/>
    </row>
    <row r="76" spans="1:13" x14ac:dyDescent="0.3">
      <c r="A76" s="1">
        <v>10</v>
      </c>
      <c r="B76" s="3">
        <v>-150</v>
      </c>
      <c r="C76" s="3">
        <v>120</v>
      </c>
      <c r="D76" s="3">
        <v>80</v>
      </c>
      <c r="E76" s="3">
        <f t="shared" si="53"/>
        <v>0.26747753689304821</v>
      </c>
      <c r="F76" s="3">
        <f t="shared" si="54"/>
        <v>15.325333978526434</v>
      </c>
      <c r="G76" s="3">
        <f t="shared" si="55"/>
        <v>-15</v>
      </c>
      <c r="H76" s="3">
        <f t="shared" si="56"/>
        <v>156.92354826475216</v>
      </c>
      <c r="I76" s="3">
        <f t="shared" si="57"/>
        <v>141.92354826475216</v>
      </c>
      <c r="J76" s="3">
        <f t="shared" si="58"/>
        <v>-171.92354826475216</v>
      </c>
      <c r="K76" s="3">
        <f t="shared" si="51"/>
        <v>60.32533397852643</v>
      </c>
      <c r="L76" s="3">
        <f t="shared" si="52"/>
        <v>-29.67466602147357</v>
      </c>
      <c r="M76" s="3"/>
    </row>
    <row r="77" spans="1:13" x14ac:dyDescent="0.3">
      <c r="A77" s="1">
        <v>11</v>
      </c>
      <c r="B77" s="3">
        <v>265</v>
      </c>
      <c r="C77" s="3">
        <v>128</v>
      </c>
      <c r="D77" s="3">
        <v>95</v>
      </c>
      <c r="E77" s="3">
        <f t="shared" si="53"/>
        <v>-0.47304018463635611</v>
      </c>
      <c r="F77" s="3">
        <f t="shared" si="54"/>
        <v>-27.103206119752414</v>
      </c>
      <c r="G77" s="3">
        <f t="shared" si="55"/>
        <v>196.5</v>
      </c>
      <c r="H77" s="3">
        <f t="shared" si="56"/>
        <v>117.1206642740725</v>
      </c>
      <c r="I77" s="3">
        <f t="shared" si="57"/>
        <v>313.62066427407251</v>
      </c>
      <c r="J77" s="3">
        <f t="shared" si="58"/>
        <v>79.379335725927504</v>
      </c>
      <c r="K77" s="3">
        <f t="shared" si="51"/>
        <v>17.896793880247586</v>
      </c>
      <c r="L77" s="3">
        <f t="shared" si="52"/>
        <v>-72.103206119752414</v>
      </c>
      <c r="M77" s="3"/>
    </row>
    <row r="78" spans="1:13" x14ac:dyDescent="0.3">
      <c r="A78" s="1">
        <v>12</v>
      </c>
      <c r="B78" s="3">
        <v>132</v>
      </c>
      <c r="C78" s="3">
        <v>-387</v>
      </c>
      <c r="D78" s="3">
        <v>-765</v>
      </c>
      <c r="E78" s="3">
        <f t="shared" si="53"/>
        <v>0.62188051502639119</v>
      </c>
      <c r="F78" s="3">
        <f t="shared" si="54"/>
        <v>35.631128872434189</v>
      </c>
      <c r="G78" s="3">
        <f t="shared" si="55"/>
        <v>-127.5</v>
      </c>
      <c r="H78" s="3">
        <f t="shared" si="56"/>
        <v>807.81510879656116</v>
      </c>
      <c r="I78" s="3">
        <f t="shared" si="57"/>
        <v>680.31510879656116</v>
      </c>
      <c r="J78" s="3">
        <f t="shared" si="58"/>
        <v>-935.31510879656116</v>
      </c>
      <c r="K78" s="3">
        <f t="shared" si="51"/>
        <v>80.631128872434189</v>
      </c>
      <c r="L78" s="3">
        <f t="shared" si="52"/>
        <v>-9.3688711275658108</v>
      </c>
      <c r="M78" s="3"/>
    </row>
    <row r="79" spans="1:13" x14ac:dyDescent="0.3">
      <c r="A79" s="1">
        <v>13</v>
      </c>
      <c r="B79" s="3">
        <f>K59</f>
        <v>48.611111111111107</v>
      </c>
      <c r="C79" s="3">
        <v>0</v>
      </c>
      <c r="D79" s="3">
        <f>I59</f>
        <v>14.178240740740742</v>
      </c>
      <c r="E79" s="3">
        <f t="shared" ref="E79" si="59">ATAN(-2*D79/(B79-C79))/2</f>
        <v>-0.26403722421317988</v>
      </c>
      <c r="F79" s="3">
        <f t="shared" ref="F79" si="60">E79*180/PI()</f>
        <v>-15.128218581764637</v>
      </c>
      <c r="G79" s="3">
        <f t="shared" ref="G79" si="61">(B79+C79)/2</f>
        <v>24.305555555555554</v>
      </c>
      <c r="H79" s="3">
        <f t="shared" ref="H79" si="62">SQRT((B79-C79)^2/4+D79^2)</f>
        <v>28.138630765668005</v>
      </c>
      <c r="I79" s="3">
        <f t="shared" ref="I79" si="63">G79+H79</f>
        <v>52.444186321223555</v>
      </c>
      <c r="J79" s="3">
        <f t="shared" ref="J79" si="64">G79-H79</f>
        <v>-3.833075210112451</v>
      </c>
      <c r="K79" s="3">
        <f t="shared" si="51"/>
        <v>29.871781418235365</v>
      </c>
      <c r="L79" s="3">
        <f t="shared" si="52"/>
        <v>-60.128218581764635</v>
      </c>
      <c r="M79" s="3"/>
    </row>
    <row r="80" spans="1:13" x14ac:dyDescent="0.3"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</row>
    <row r="82" spans="1:13" x14ac:dyDescent="0.3">
      <c r="B82" s="2" t="s">
        <v>43</v>
      </c>
      <c r="C82" s="2" t="s">
        <v>44</v>
      </c>
      <c r="D82" s="2" t="s">
        <v>45</v>
      </c>
      <c r="E82" s="2" t="s">
        <v>46</v>
      </c>
      <c r="F82" s="2" t="s">
        <v>53</v>
      </c>
      <c r="G82" s="2" t="s">
        <v>47</v>
      </c>
      <c r="H82" s="2" t="s">
        <v>48</v>
      </c>
      <c r="I82" s="2" t="s">
        <v>49</v>
      </c>
      <c r="J82" s="2" t="s">
        <v>50</v>
      </c>
      <c r="K82" s="2" t="s">
        <v>54</v>
      </c>
      <c r="L82" s="2" t="s">
        <v>51</v>
      </c>
      <c r="M82" s="2" t="s">
        <v>52</v>
      </c>
    </row>
    <row r="83" spans="1:13" x14ac:dyDescent="0.3">
      <c r="A83" s="1" t="s">
        <v>55</v>
      </c>
      <c r="B83" s="2">
        <v>2000</v>
      </c>
      <c r="C83" s="2">
        <v>50</v>
      </c>
      <c r="D83" s="2">
        <v>30</v>
      </c>
      <c r="E83" s="2">
        <v>0.3</v>
      </c>
      <c r="F83" s="2">
        <f>PI()*(D83/2)^2</f>
        <v>706.85834705770344</v>
      </c>
      <c r="G83" s="2">
        <f>3600*1000</f>
        <v>3600000</v>
      </c>
      <c r="H83" s="2">
        <f>G83/F83</f>
        <v>5092.9581789406511</v>
      </c>
      <c r="I83" s="2">
        <f>C83/B83</f>
        <v>2.5000000000000001E-2</v>
      </c>
      <c r="J83" s="2">
        <f>H83/I83</f>
        <v>203718.32715762604</v>
      </c>
      <c r="K83" s="2">
        <f>E83/D83</f>
        <v>0.01</v>
      </c>
      <c r="L83" s="2">
        <f>K83/I83</f>
        <v>0.39999999999999997</v>
      </c>
      <c r="M83" s="2">
        <f>J83/(2*(1+L83))</f>
        <v>72756.545413437882</v>
      </c>
    </row>
    <row r="86" spans="1:13" x14ac:dyDescent="0.3">
      <c r="B86" s="2" t="s">
        <v>57</v>
      </c>
      <c r="C86" s="2" t="s">
        <v>58</v>
      </c>
      <c r="D86" s="2" t="s">
        <v>61</v>
      </c>
      <c r="E86" s="2" t="s">
        <v>59</v>
      </c>
      <c r="F86" s="2" t="s">
        <v>56</v>
      </c>
      <c r="G86" s="2" t="s">
        <v>60</v>
      </c>
    </row>
    <row r="87" spans="1:13" x14ac:dyDescent="0.3">
      <c r="A87" s="1" t="s">
        <v>55</v>
      </c>
      <c r="B87" s="2">
        <v>50</v>
      </c>
      <c r="C87" s="2">
        <f>PI()*(B87/2)^2</f>
        <v>1963.4954084936207</v>
      </c>
      <c r="D87" s="2">
        <v>205000</v>
      </c>
      <c r="E87" s="2">
        <f>390*1000</f>
        <v>390000</v>
      </c>
      <c r="F87" s="2">
        <v>1300</v>
      </c>
      <c r="G87" s="2">
        <f>E87*F87/C87/D87</f>
        <v>1.2595755105965414</v>
      </c>
    </row>
    <row r="88" spans="1:13" x14ac:dyDescent="0.3">
      <c r="A88" s="1" t="s">
        <v>55</v>
      </c>
      <c r="C88" s="2">
        <v>1000</v>
      </c>
      <c r="D88" s="2">
        <v>200000</v>
      </c>
      <c r="E88" s="2">
        <f>200*1000</f>
        <v>200000</v>
      </c>
      <c r="F88" s="2">
        <v>1000</v>
      </c>
      <c r="G88" s="2">
        <f>E88*F88/C88/D88</f>
        <v>1</v>
      </c>
    </row>
    <row r="89" spans="1:13" x14ac:dyDescent="0.3">
      <c r="C89" s="2">
        <v>2000</v>
      </c>
      <c r="D89" s="2">
        <v>27000</v>
      </c>
      <c r="E89" s="2">
        <f>250*1000</f>
        <v>250000</v>
      </c>
      <c r="F89" s="2">
        <v>2000</v>
      </c>
      <c r="G89" s="2">
        <f>E89*F89/C89/D89</f>
        <v>9.2592592592592595</v>
      </c>
    </row>
    <row r="90" spans="1:13" x14ac:dyDescent="0.3">
      <c r="B90" s="2">
        <v>500</v>
      </c>
      <c r="C90" s="2">
        <f>B90^2</f>
        <v>250000</v>
      </c>
      <c r="D90" s="2">
        <v>28500</v>
      </c>
      <c r="E90" s="2">
        <f>7800*1000</f>
        <v>7800000</v>
      </c>
      <c r="F90" s="2">
        <v>2400</v>
      </c>
      <c r="G90" s="2">
        <f>E90*F90/C90/D90</f>
        <v>2.6273684210526316</v>
      </c>
      <c r="I90" s="2">
        <f>ATAN(0.2)*180/PI()/2</f>
        <v>5.6549662370101066</v>
      </c>
    </row>
    <row r="91" spans="1:13" x14ac:dyDescent="0.3">
      <c r="B91" s="2">
        <v>550</v>
      </c>
      <c r="C91" s="2">
        <f>B91^2</f>
        <v>302500</v>
      </c>
      <c r="D91" s="2">
        <v>28500</v>
      </c>
      <c r="E91" s="2">
        <f>7800*1000</f>
        <v>7800000</v>
      </c>
      <c r="F91" s="2">
        <v>2400</v>
      </c>
      <c r="G91" s="2">
        <f>E91*F91/C91/D91</f>
        <v>2.1713788603740758</v>
      </c>
    </row>
    <row r="92" spans="1:13" x14ac:dyDescent="0.3">
      <c r="B92" s="2">
        <f>SQRT(C92)</f>
        <v>452.0224821005304</v>
      </c>
      <c r="C92" s="2">
        <f>E92*F92/D92/G92</f>
        <v>204324.32432432432</v>
      </c>
      <c r="D92" s="2">
        <v>37000</v>
      </c>
      <c r="E92" s="2">
        <f>3600*1000</f>
        <v>3600000</v>
      </c>
      <c r="F92" s="2">
        <v>2100</v>
      </c>
      <c r="G92" s="2">
        <v>1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ironbell</dc:creator>
  <cp:lastModifiedBy>정종현</cp:lastModifiedBy>
  <dcterms:created xsi:type="dcterms:W3CDTF">2017-02-26T08:00:02Z</dcterms:created>
  <dcterms:modified xsi:type="dcterms:W3CDTF">2018-03-29T13:26:28Z</dcterms:modified>
</cp:coreProperties>
</file>