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OneDrive - 경남대학교\연구과제\[학술논문2019]\[학술대회 - ISSS] Investigation on Instantaneous Center of Rotation Method for Design of Eccentrically Loaded Weld Group\"/>
    </mc:Choice>
  </mc:AlternateContent>
  <xr:revisionPtr revIDLastSave="0" documentId="13_ncr:1_{69CB744C-26F0-433E-AE64-44F33BFBA8DB}" xr6:coauthVersionLast="43" xr6:coauthVersionMax="43" xr10:uidLastSave="{00000000-0000-0000-0000-000000000000}"/>
  <bookViews>
    <workbookView xWindow="5235" yWindow="1545" windowWidth="20880" windowHeight="12045" tabRatio="877" activeTab="19" xr2:uid="{00000000-000D-0000-FFFF-FFFF00000000}"/>
  </bookViews>
  <sheets>
    <sheet name="DB600" sheetId="45" r:id="rId1"/>
    <sheet name="table" sheetId="75" r:id="rId2"/>
    <sheet name="DB600-Summary" sheetId="76" r:id="rId3"/>
    <sheet name="paper-ex" sheetId="70" r:id="rId4"/>
    <sheet name="paper-ex-Summary" sheetId="78" r:id="rId5"/>
    <sheet name="stiffener_C_shaped_weld" sheetId="49" r:id="rId6"/>
    <sheet name="Section" sheetId="66" r:id="rId7"/>
    <sheet name="sample" sheetId="40" r:id="rId8"/>
    <sheet name="sample (table)" sheetId="72" r:id="rId9"/>
    <sheet name="ex" sheetId="38" r:id="rId10"/>
    <sheet name="DB400" sheetId="43" r:id="rId11"/>
    <sheet name="DB500" sheetId="44" r:id="rId12"/>
    <sheet name="DB588" sheetId="67" r:id="rId13"/>
    <sheet name="DB700" sheetId="46" r:id="rId14"/>
    <sheet name="DB700 (table)" sheetId="74" r:id="rId15"/>
    <sheet name="DB800" sheetId="50" r:id="rId16"/>
    <sheet name="DB900" sheetId="51" r:id="rId17"/>
    <sheet name="CW1" sheetId="47" r:id="rId18"/>
    <sheet name="CW2" sheetId="52" r:id="rId19"/>
    <sheet name="Using Table" sheetId="3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49" l="1"/>
  <c r="C37" i="49"/>
  <c r="D37" i="49"/>
  <c r="E37" i="49"/>
  <c r="F37" i="49"/>
  <c r="G37" i="49"/>
  <c r="G61" i="49" s="1"/>
  <c r="H37" i="49"/>
  <c r="H61" i="49" s="1"/>
  <c r="I37" i="49"/>
  <c r="I61" i="49" s="1"/>
  <c r="B38" i="49"/>
  <c r="C38" i="49"/>
  <c r="D38" i="49"/>
  <c r="E38" i="49"/>
  <c r="F38" i="49"/>
  <c r="G38" i="49"/>
  <c r="G50" i="49" s="1"/>
  <c r="H38" i="49"/>
  <c r="H50" i="49" s="1"/>
  <c r="I38" i="49"/>
  <c r="I50" i="49" s="1"/>
  <c r="B40" i="49"/>
  <c r="B41" i="49" s="1"/>
  <c r="B46" i="49" s="1"/>
  <c r="C40" i="49"/>
  <c r="D40" i="49"/>
  <c r="E40" i="49"/>
  <c r="F40" i="49"/>
  <c r="G40" i="49"/>
  <c r="H40" i="49"/>
  <c r="H41" i="49" s="1"/>
  <c r="H46" i="49" s="1"/>
  <c r="I40" i="49"/>
  <c r="I41" i="49" s="1"/>
  <c r="I46" i="49" s="1"/>
  <c r="J40" i="49"/>
  <c r="K40" i="49"/>
  <c r="C41" i="49"/>
  <c r="D41" i="49"/>
  <c r="E41" i="49"/>
  <c r="F41" i="49"/>
  <c r="F46" i="49" s="1"/>
  <c r="G41" i="49"/>
  <c r="G46" i="49" s="1"/>
  <c r="J42" i="49"/>
  <c r="K42" i="49"/>
  <c r="B43" i="49"/>
  <c r="C43" i="49"/>
  <c r="D43" i="49"/>
  <c r="E43" i="49"/>
  <c r="F43" i="49"/>
  <c r="G43" i="49"/>
  <c r="H43" i="49"/>
  <c r="I43" i="49"/>
  <c r="B44" i="49"/>
  <c r="C44" i="49"/>
  <c r="D44" i="49"/>
  <c r="E44" i="49"/>
  <c r="F44" i="49"/>
  <c r="G44" i="49"/>
  <c r="H44" i="49"/>
  <c r="I44" i="49"/>
  <c r="B45" i="49"/>
  <c r="C45" i="49"/>
  <c r="D45" i="49"/>
  <c r="E45" i="49"/>
  <c r="F45" i="49"/>
  <c r="G45" i="49"/>
  <c r="H45" i="49"/>
  <c r="I45" i="49"/>
  <c r="C46" i="49"/>
  <c r="D46" i="49"/>
  <c r="E46" i="49"/>
  <c r="B47" i="49"/>
  <c r="C47" i="49"/>
  <c r="D47" i="49"/>
  <c r="E47" i="49"/>
  <c r="F47" i="49"/>
  <c r="G47" i="49"/>
  <c r="H47" i="49"/>
  <c r="I47" i="49"/>
  <c r="B48" i="49"/>
  <c r="C48" i="49"/>
  <c r="D48" i="49"/>
  <c r="E48" i="49"/>
  <c r="F48" i="49"/>
  <c r="G48" i="49"/>
  <c r="H48" i="49"/>
  <c r="I48" i="49"/>
  <c r="B49" i="49"/>
  <c r="C49" i="49"/>
  <c r="D49" i="49"/>
  <c r="E49" i="49"/>
  <c r="F49" i="49"/>
  <c r="G49" i="49"/>
  <c r="H49" i="49"/>
  <c r="I49" i="49"/>
  <c r="B50" i="49"/>
  <c r="C50" i="49"/>
  <c r="D50" i="49"/>
  <c r="E50" i="49"/>
  <c r="F50" i="49"/>
  <c r="B51" i="49"/>
  <c r="C51" i="49"/>
  <c r="D51" i="49"/>
  <c r="E51" i="49"/>
  <c r="F51" i="49"/>
  <c r="G51" i="49"/>
  <c r="H51" i="49"/>
  <c r="I51" i="49"/>
  <c r="B52" i="49"/>
  <c r="C52" i="49"/>
  <c r="D52" i="49"/>
  <c r="E52" i="49"/>
  <c r="F52" i="49"/>
  <c r="G52" i="49"/>
  <c r="H52" i="49"/>
  <c r="I52" i="49"/>
  <c r="B53" i="49"/>
  <c r="C53" i="49"/>
  <c r="D53" i="49"/>
  <c r="E53" i="49"/>
  <c r="F53" i="49"/>
  <c r="G53" i="49"/>
  <c r="H53" i="49"/>
  <c r="I53" i="49"/>
  <c r="B55" i="49"/>
  <c r="C55" i="49"/>
  <c r="D55" i="49"/>
  <c r="D56" i="49" s="1"/>
  <c r="E55" i="49"/>
  <c r="E56" i="49" s="1"/>
  <c r="F55" i="49"/>
  <c r="F56" i="49" s="1"/>
  <c r="G55" i="49"/>
  <c r="H55" i="49"/>
  <c r="H56" i="49" s="1"/>
  <c r="I55" i="49"/>
  <c r="J55" i="49"/>
  <c r="K55" i="49"/>
  <c r="B56" i="49"/>
  <c r="C56" i="49"/>
  <c r="G56" i="49"/>
  <c r="I56" i="49"/>
  <c r="J56" i="49"/>
  <c r="K56" i="49"/>
  <c r="J57" i="49"/>
  <c r="J58" i="49" s="1"/>
  <c r="K57" i="49"/>
  <c r="K58" i="49"/>
  <c r="K59" i="49"/>
  <c r="B61" i="49"/>
  <c r="C61" i="49"/>
  <c r="D61" i="49"/>
  <c r="E61" i="49"/>
  <c r="F61" i="49"/>
  <c r="J61" i="49"/>
  <c r="K61" i="49"/>
  <c r="J63" i="49"/>
  <c r="K63" i="49"/>
  <c r="J64" i="49"/>
  <c r="K64" i="49"/>
  <c r="B65" i="49"/>
  <c r="C65" i="49"/>
  <c r="D65" i="49"/>
  <c r="E65" i="49"/>
  <c r="F65" i="49"/>
  <c r="G65" i="49"/>
  <c r="H65" i="49"/>
  <c r="I65" i="49"/>
  <c r="J65" i="49"/>
  <c r="K65" i="49"/>
  <c r="J66" i="49"/>
  <c r="K66" i="49"/>
  <c r="B68" i="49"/>
  <c r="C68" i="49"/>
  <c r="D68" i="49"/>
  <c r="E68" i="49"/>
  <c r="F68" i="49"/>
  <c r="G68" i="49"/>
  <c r="H68" i="49"/>
  <c r="I68" i="49"/>
  <c r="B69" i="49"/>
  <c r="C69" i="49"/>
  <c r="D69" i="49"/>
  <c r="E69" i="49"/>
  <c r="F69" i="49"/>
  <c r="G69" i="49"/>
  <c r="H69" i="49"/>
  <c r="I69" i="49"/>
  <c r="J69" i="49"/>
  <c r="J71" i="49" s="1"/>
  <c r="K69" i="49"/>
  <c r="J70" i="49"/>
  <c r="K70" i="49"/>
  <c r="K71" i="49"/>
  <c r="B74" i="49"/>
  <c r="C74" i="49"/>
  <c r="D74" i="49"/>
  <c r="E74" i="49"/>
  <c r="F74" i="49"/>
  <c r="G74" i="49"/>
  <c r="H74" i="49"/>
  <c r="I74" i="49"/>
  <c r="J74" i="49"/>
  <c r="K74" i="49"/>
  <c r="B75" i="49"/>
  <c r="C75" i="49"/>
  <c r="D75" i="49"/>
  <c r="E75" i="49"/>
  <c r="F75" i="49"/>
  <c r="G75" i="49"/>
  <c r="H75" i="49"/>
  <c r="I75" i="49"/>
  <c r="J75" i="49"/>
  <c r="K75" i="49"/>
  <c r="B77" i="49"/>
  <c r="C77" i="49"/>
  <c r="D77" i="49"/>
  <c r="E77" i="49"/>
  <c r="F77" i="49"/>
  <c r="G77" i="49"/>
  <c r="H77" i="49"/>
  <c r="I77" i="49"/>
  <c r="J77" i="49"/>
  <c r="K77" i="49"/>
  <c r="B79" i="49"/>
  <c r="C79" i="49"/>
  <c r="C81" i="49" s="1"/>
  <c r="D79" i="49"/>
  <c r="E79" i="49"/>
  <c r="F79" i="49"/>
  <c r="G79" i="49"/>
  <c r="G81" i="49" s="1"/>
  <c r="H79" i="49"/>
  <c r="H81" i="49" s="1"/>
  <c r="I79" i="49"/>
  <c r="D80" i="49"/>
  <c r="E80" i="49"/>
  <c r="F80" i="49"/>
  <c r="G80" i="49"/>
  <c r="H80" i="49"/>
  <c r="I80" i="49"/>
  <c r="B81" i="49"/>
  <c r="D81" i="49"/>
  <c r="E81" i="49"/>
  <c r="F81" i="49"/>
  <c r="I81" i="49"/>
  <c r="J82" i="49"/>
  <c r="J92" i="49" s="1"/>
  <c r="K82" i="49"/>
  <c r="B84" i="49"/>
  <c r="C84" i="49"/>
  <c r="D84" i="49"/>
  <c r="E84" i="49"/>
  <c r="F84" i="49"/>
  <c r="G84" i="49"/>
  <c r="H84" i="49"/>
  <c r="I84" i="49"/>
  <c r="J85" i="49"/>
  <c r="K85" i="49"/>
  <c r="K91" i="49" s="1"/>
  <c r="J86" i="49"/>
  <c r="K86" i="49"/>
  <c r="J90" i="49"/>
  <c r="K90" i="49"/>
  <c r="J91" i="49"/>
  <c r="K92" i="49"/>
  <c r="B3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28" i="45"/>
  <c r="G29" i="45"/>
  <c r="G30" i="45"/>
  <c r="G31" i="45"/>
  <c r="G32" i="45"/>
  <c r="G33" i="45"/>
  <c r="G34" i="45"/>
  <c r="G35" i="45"/>
  <c r="G36" i="45"/>
  <c r="G37" i="45"/>
  <c r="G17" i="45"/>
  <c r="G18" i="45"/>
  <c r="G19" i="45"/>
  <c r="G20" i="45"/>
  <c r="G21" i="45"/>
  <c r="G22" i="45"/>
  <c r="G23" i="45"/>
  <c r="G24" i="45"/>
  <c r="G25" i="45"/>
  <c r="G26" i="45"/>
  <c r="G27" i="45"/>
  <c r="G12" i="45"/>
  <c r="G13" i="45"/>
  <c r="G14" i="45"/>
  <c r="G15" i="45"/>
  <c r="G16" i="45"/>
  <c r="D4" i="45"/>
  <c r="D5" i="45" s="1"/>
  <c r="D6" i="45" s="1"/>
  <c r="D7" i="45" s="1"/>
  <c r="D8" i="45" s="1"/>
  <c r="D9" i="45" s="1"/>
  <c r="G4" i="45"/>
  <c r="G5" i="45"/>
  <c r="G6" i="45"/>
  <c r="G7" i="45"/>
  <c r="G8" i="45"/>
  <c r="G9" i="45"/>
  <c r="G10" i="45"/>
  <c r="G11" i="45"/>
  <c r="G38" i="45"/>
  <c r="G39" i="45"/>
  <c r="G40" i="45"/>
  <c r="G41" i="45"/>
  <c r="G42" i="45"/>
  <c r="G43" i="45"/>
  <c r="G44" i="45"/>
  <c r="G45" i="45"/>
  <c r="G46" i="45"/>
  <c r="G47" i="45"/>
  <c r="G48" i="45"/>
  <c r="G3" i="45"/>
  <c r="A3" i="45"/>
  <c r="A4" i="45" s="1"/>
  <c r="A5" i="45" s="1"/>
  <c r="A6" i="45" s="1"/>
  <c r="G27" i="70"/>
  <c r="G28" i="70"/>
  <c r="G29" i="70"/>
  <c r="G30" i="70"/>
  <c r="G31" i="70"/>
  <c r="G32" i="70"/>
  <c r="G33" i="70"/>
  <c r="G34" i="70"/>
  <c r="G19" i="70"/>
  <c r="G20" i="70"/>
  <c r="G21" i="70"/>
  <c r="G22" i="70"/>
  <c r="G23" i="70"/>
  <c r="G24" i="70"/>
  <c r="G25" i="70"/>
  <c r="G26" i="70"/>
  <c r="D4" i="70"/>
  <c r="E4" i="70"/>
  <c r="F4" i="70"/>
  <c r="G4" i="70"/>
  <c r="G6" i="70"/>
  <c r="G7" i="70"/>
  <c r="G8" i="70"/>
  <c r="G9" i="70"/>
  <c r="G10" i="70"/>
  <c r="G11" i="70"/>
  <c r="G12" i="70"/>
  <c r="G13" i="70"/>
  <c r="G14" i="70"/>
  <c r="G15" i="70"/>
  <c r="G16" i="70"/>
  <c r="G17" i="70"/>
  <c r="G18" i="70"/>
  <c r="D5" i="70"/>
  <c r="G5" i="70"/>
  <c r="J59" i="49" l="1"/>
  <c r="D10" i="45"/>
  <c r="D11" i="45" s="1"/>
  <c r="D12" i="45" s="1"/>
  <c r="D13" i="45" s="1"/>
  <c r="D14" i="45" s="1"/>
  <c r="A7" i="45"/>
  <c r="D6" i="70"/>
  <c r="D7" i="70" s="1"/>
  <c r="D8" i="70" s="1"/>
  <c r="D9" i="70" s="1"/>
  <c r="D10" i="70" s="1"/>
  <c r="AB37" i="78"/>
  <c r="Y37" i="78"/>
  <c r="V37" i="78"/>
  <c r="S37" i="78"/>
  <c r="P37" i="78"/>
  <c r="M37" i="78"/>
  <c r="J37" i="78"/>
  <c r="G37" i="78"/>
  <c r="D37" i="78"/>
  <c r="AB30" i="78"/>
  <c r="Y30" i="78"/>
  <c r="V30" i="78"/>
  <c r="S30" i="78"/>
  <c r="P30" i="78"/>
  <c r="M30" i="78"/>
  <c r="J30" i="78"/>
  <c r="G30" i="78"/>
  <c r="D30" i="78"/>
  <c r="AB23" i="78"/>
  <c r="Y23" i="78"/>
  <c r="V23" i="78"/>
  <c r="S23" i="78"/>
  <c r="P23" i="78"/>
  <c r="M23" i="78"/>
  <c r="J23" i="78"/>
  <c r="G23" i="78"/>
  <c r="D23" i="78"/>
  <c r="AB16" i="78"/>
  <c r="Y16" i="78"/>
  <c r="V16" i="78"/>
  <c r="S16" i="78"/>
  <c r="P16" i="78"/>
  <c r="M16" i="78"/>
  <c r="J16" i="78"/>
  <c r="G16" i="78"/>
  <c r="D16" i="78"/>
  <c r="AB2" i="78"/>
  <c r="Y2" i="78"/>
  <c r="V2" i="78"/>
  <c r="S2" i="78"/>
  <c r="P2" i="78"/>
  <c r="M2" i="78"/>
  <c r="J2" i="78"/>
  <c r="G2" i="78"/>
  <c r="D2" i="78"/>
  <c r="AB9" i="78"/>
  <c r="Y9" i="78"/>
  <c r="V9" i="78"/>
  <c r="S9" i="78"/>
  <c r="P9" i="78"/>
  <c r="M9" i="78"/>
  <c r="J9" i="78"/>
  <c r="G9" i="78"/>
  <c r="D9" i="78"/>
  <c r="S4" i="75"/>
  <c r="D15" i="45" l="1"/>
  <c r="A8" i="45"/>
  <c r="D11" i="70"/>
  <c r="AB37" i="76"/>
  <c r="Y37" i="76"/>
  <c r="V37" i="76"/>
  <c r="S37" i="76"/>
  <c r="P37" i="76"/>
  <c r="M37" i="76"/>
  <c r="J37" i="76"/>
  <c r="G37" i="76"/>
  <c r="D37" i="76"/>
  <c r="AB30" i="76"/>
  <c r="Y30" i="76"/>
  <c r="V30" i="76"/>
  <c r="S30" i="76"/>
  <c r="P30" i="76"/>
  <c r="M30" i="76"/>
  <c r="J30" i="76"/>
  <c r="G30" i="76"/>
  <c r="D30" i="76"/>
  <c r="AB23" i="76"/>
  <c r="Y23" i="76"/>
  <c r="V23" i="76"/>
  <c r="S23" i="76"/>
  <c r="P23" i="76"/>
  <c r="M23" i="76"/>
  <c r="J23" i="76"/>
  <c r="G23" i="76"/>
  <c r="D23" i="76"/>
  <c r="AB16" i="76"/>
  <c r="Y16" i="76"/>
  <c r="V16" i="76"/>
  <c r="S16" i="76"/>
  <c r="P16" i="76"/>
  <c r="M16" i="76"/>
  <c r="J16" i="76"/>
  <c r="G16" i="76"/>
  <c r="D16" i="76"/>
  <c r="AB9" i="76"/>
  <c r="Y9" i="76"/>
  <c r="V9" i="76"/>
  <c r="S9" i="76"/>
  <c r="P9" i="76"/>
  <c r="M9" i="76"/>
  <c r="J9" i="76"/>
  <c r="G9" i="76"/>
  <c r="D9" i="76"/>
  <c r="D2" i="76"/>
  <c r="AB2" i="76"/>
  <c r="S2" i="76"/>
  <c r="P2" i="76"/>
  <c r="Y2" i="76"/>
  <c r="V2" i="76"/>
  <c r="M2" i="76"/>
  <c r="J2" i="76"/>
  <c r="G2" i="76"/>
  <c r="F98" i="45"/>
  <c r="G98" i="45" s="1"/>
  <c r="E98" i="45"/>
  <c r="E99" i="45" s="1"/>
  <c r="E100" i="45" s="1"/>
  <c r="C9" i="72"/>
  <c r="E9" i="72"/>
  <c r="E9" i="74"/>
  <c r="C9" i="74"/>
  <c r="L29" i="75"/>
  <c r="F99" i="45" l="1"/>
  <c r="D16" i="45"/>
  <c r="D17" i="45" s="1"/>
  <c r="D18" i="45" s="1"/>
  <c r="D19" i="45" s="1"/>
  <c r="D20" i="45" s="1"/>
  <c r="D21" i="45" s="1"/>
  <c r="A9" i="45"/>
  <c r="D12" i="70"/>
  <c r="E101" i="45"/>
  <c r="A98" i="45"/>
  <c r="F100" i="45"/>
  <c r="G99" i="45"/>
  <c r="V35" i="75"/>
  <c r="AC34" i="75"/>
  <c r="X34" i="75"/>
  <c r="AC25" i="75"/>
  <c r="AC27" i="75" s="1"/>
  <c r="X25" i="75"/>
  <c r="X27" i="75" s="1"/>
  <c r="N25" i="75"/>
  <c r="I25" i="75"/>
  <c r="D25" i="75"/>
  <c r="N24" i="75"/>
  <c r="N27" i="75" s="1"/>
  <c r="I24" i="75"/>
  <c r="D24" i="75"/>
  <c r="D34" i="75" s="1"/>
  <c r="AC22" i="75"/>
  <c r="AC5" i="75"/>
  <c r="S5" i="75"/>
  <c r="N5" i="75"/>
  <c r="I5" i="75"/>
  <c r="AC4" i="75"/>
  <c r="AC14" i="75" s="1"/>
  <c r="S14" i="75"/>
  <c r="N4" i="75"/>
  <c r="I4" i="75"/>
  <c r="I14" i="75" s="1"/>
  <c r="B3" i="46"/>
  <c r="AB17" i="46"/>
  <c r="I7" i="75" l="1"/>
  <c r="N7" i="75"/>
  <c r="I34" i="75"/>
  <c r="D27" i="75"/>
  <c r="D30" i="75" s="1"/>
  <c r="AC7" i="75"/>
  <c r="AC10" i="75" s="1"/>
  <c r="D22" i="45"/>
  <c r="A10" i="45"/>
  <c r="D13" i="70"/>
  <c r="F101" i="45"/>
  <c r="G100" i="45"/>
  <c r="A99" i="45"/>
  <c r="E102" i="45"/>
  <c r="X28" i="75"/>
  <c r="X30" i="75"/>
  <c r="N30" i="75"/>
  <c r="N28" i="75"/>
  <c r="N29" i="75" s="1"/>
  <c r="AC8" i="75"/>
  <c r="AC30" i="75"/>
  <c r="AC28" i="75"/>
  <c r="N8" i="75"/>
  <c r="N10" i="75"/>
  <c r="I27" i="75"/>
  <c r="AA9" i="75"/>
  <c r="N34" i="75"/>
  <c r="N14" i="75"/>
  <c r="S7" i="75"/>
  <c r="D4" i="72"/>
  <c r="D5" i="72"/>
  <c r="D5" i="74"/>
  <c r="D4" i="74"/>
  <c r="V35" i="74"/>
  <c r="AC34" i="74"/>
  <c r="X34" i="74"/>
  <c r="AC25" i="74"/>
  <c r="AC27" i="74" s="1"/>
  <c r="X25" i="74"/>
  <c r="X27" i="74" s="1"/>
  <c r="N25" i="74"/>
  <c r="I25" i="74"/>
  <c r="D25" i="74"/>
  <c r="N24" i="74"/>
  <c r="N34" i="74" s="1"/>
  <c r="I24" i="74"/>
  <c r="D24" i="74"/>
  <c r="D27" i="74" s="1"/>
  <c r="AC22" i="74"/>
  <c r="X14" i="74"/>
  <c r="AC5" i="74"/>
  <c r="X5" i="74"/>
  <c r="X7" i="74" s="1"/>
  <c r="S5" i="74"/>
  <c r="S7" i="74" s="1"/>
  <c r="N5" i="74"/>
  <c r="N7" i="74" s="1"/>
  <c r="I5" i="74"/>
  <c r="I7" i="74" s="1"/>
  <c r="AC4" i="74"/>
  <c r="AC14" i="74" s="1"/>
  <c r="X4" i="74"/>
  <c r="S4" i="74"/>
  <c r="N4" i="74"/>
  <c r="N14" i="74" s="1"/>
  <c r="I4" i="74"/>
  <c r="I14" i="74" s="1"/>
  <c r="N27" i="74" l="1"/>
  <c r="D34" i="74"/>
  <c r="AC7" i="74"/>
  <c r="AC8" i="74" s="1"/>
  <c r="AD9" i="75"/>
  <c r="AB9" i="75"/>
  <c r="AC9" i="75" s="1"/>
  <c r="AC12" i="75" s="1"/>
  <c r="D28" i="75"/>
  <c r="I8" i="75"/>
  <c r="I10" i="75"/>
  <c r="D23" i="45"/>
  <c r="A11" i="45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D14" i="70"/>
  <c r="A100" i="45"/>
  <c r="G101" i="45"/>
  <c r="F102" i="45"/>
  <c r="E103" i="45"/>
  <c r="S8" i="75"/>
  <c r="S10" i="75"/>
  <c r="O29" i="75"/>
  <c r="M29" i="75"/>
  <c r="N32" i="75" s="1"/>
  <c r="I30" i="75"/>
  <c r="I28" i="75"/>
  <c r="D7" i="74"/>
  <c r="D10" i="74" s="1"/>
  <c r="D14" i="74"/>
  <c r="I10" i="74"/>
  <c r="I8" i="74"/>
  <c r="D30" i="74"/>
  <c r="D28" i="74"/>
  <c r="N8" i="74"/>
  <c r="N10" i="74"/>
  <c r="S8" i="74"/>
  <c r="S10" i="74"/>
  <c r="X10" i="74"/>
  <c r="X8" i="74"/>
  <c r="N30" i="74"/>
  <c r="N28" i="74"/>
  <c r="X28" i="74"/>
  <c r="X30" i="74"/>
  <c r="AC30" i="74"/>
  <c r="AC28" i="74"/>
  <c r="D8" i="74"/>
  <c r="I27" i="74"/>
  <c r="I34" i="74"/>
  <c r="AC10" i="74"/>
  <c r="S14" i="74"/>
  <c r="B9" i="72"/>
  <c r="V35" i="72"/>
  <c r="AC34" i="72"/>
  <c r="X34" i="72"/>
  <c r="AC25" i="72"/>
  <c r="AC27" i="72" s="1"/>
  <c r="X25" i="72"/>
  <c r="X27" i="72" s="1"/>
  <c r="N25" i="72"/>
  <c r="I25" i="72"/>
  <c r="D25" i="72"/>
  <c r="N24" i="72"/>
  <c r="N34" i="72" s="1"/>
  <c r="I24" i="72"/>
  <c r="I27" i="72" s="1"/>
  <c r="I30" i="72" s="1"/>
  <c r="D24" i="72"/>
  <c r="AC22" i="72"/>
  <c r="I14" i="72"/>
  <c r="D14" i="72"/>
  <c r="D7" i="72"/>
  <c r="D8" i="72" s="1"/>
  <c r="AC5" i="72"/>
  <c r="X5" i="72"/>
  <c r="S5" i="72"/>
  <c r="N5" i="72"/>
  <c r="I5" i="72"/>
  <c r="I7" i="72" s="1"/>
  <c r="I8" i="72" s="1"/>
  <c r="AC4" i="72"/>
  <c r="AC14" i="72" s="1"/>
  <c r="X4" i="72"/>
  <c r="S4" i="72"/>
  <c r="S14" i="72" s="1"/>
  <c r="N4" i="72"/>
  <c r="N14" i="72" s="1"/>
  <c r="I4" i="72"/>
  <c r="X7" i="72" l="1"/>
  <c r="D27" i="72"/>
  <c r="N7" i="72"/>
  <c r="D24" i="45"/>
  <c r="A24" i="45"/>
  <c r="D15" i="70"/>
  <c r="E104" i="45"/>
  <c r="A101" i="45"/>
  <c r="G102" i="45"/>
  <c r="F103" i="45"/>
  <c r="I30" i="74"/>
  <c r="I28" i="74"/>
  <c r="N8" i="72"/>
  <c r="N10" i="72"/>
  <c r="X28" i="72"/>
  <c r="X30" i="72"/>
  <c r="D30" i="72"/>
  <c r="D28" i="72"/>
  <c r="X8" i="72"/>
  <c r="X10" i="72"/>
  <c r="AC30" i="72"/>
  <c r="AC28" i="72"/>
  <c r="D34" i="72"/>
  <c r="D10" i="72"/>
  <c r="X14" i="72"/>
  <c r="N27" i="72"/>
  <c r="I34" i="72"/>
  <c r="AC7" i="72"/>
  <c r="D9" i="72"/>
  <c r="I10" i="72"/>
  <c r="S7" i="72"/>
  <c r="I28" i="72"/>
  <c r="A25" i="45" l="1"/>
  <c r="D25" i="45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16" i="70"/>
  <c r="A102" i="45"/>
  <c r="E105" i="45"/>
  <c r="G103" i="45"/>
  <c r="F104" i="45"/>
  <c r="D12" i="72"/>
  <c r="AC10" i="72"/>
  <c r="AC8" i="72"/>
  <c r="S8" i="72"/>
  <c r="S10" i="72"/>
  <c r="N30" i="72"/>
  <c r="N28" i="72"/>
  <c r="B9" i="39"/>
  <c r="D4" i="39"/>
  <c r="D5" i="39"/>
  <c r="D37" i="45" l="1"/>
  <c r="D38" i="45" s="1"/>
  <c r="D39" i="45" s="1"/>
  <c r="D40" i="45" s="1"/>
  <c r="D41" i="45" s="1"/>
  <c r="D42" i="45" s="1"/>
  <c r="D43" i="45" s="1"/>
  <c r="D44" i="45" s="1"/>
  <c r="D45" i="45" s="1"/>
  <c r="D46" i="45" s="1"/>
  <c r="D47" i="45" s="1"/>
  <c r="D48" i="45" s="1"/>
  <c r="D49" i="45" s="1"/>
  <c r="D50" i="45" s="1"/>
  <c r="D51" i="45" s="1"/>
  <c r="D52" i="45" s="1"/>
  <c r="D53" i="45" s="1"/>
  <c r="D54" i="45" s="1"/>
  <c r="D55" i="45" s="1"/>
  <c r="D56" i="45" s="1"/>
  <c r="D57" i="45" s="1"/>
  <c r="D58" i="45" s="1"/>
  <c r="D59" i="45" s="1"/>
  <c r="A26" i="45"/>
  <c r="D17" i="70"/>
  <c r="F105" i="45"/>
  <c r="G104" i="45"/>
  <c r="A103" i="45"/>
  <c r="E106" i="45"/>
  <c r="D3" i="72"/>
  <c r="F101" i="70"/>
  <c r="G101" i="70" s="1"/>
  <c r="E101" i="70"/>
  <c r="E102" i="70" s="1"/>
  <c r="G3" i="70"/>
  <c r="A3" i="70"/>
  <c r="D60" i="45" l="1"/>
  <c r="A27" i="45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101" i="70"/>
  <c r="A102" i="70" s="1"/>
  <c r="A4" i="70"/>
  <c r="A5" i="70" s="1"/>
  <c r="A6" i="70" s="1"/>
  <c r="A7" i="70" s="1"/>
  <c r="A8" i="70" s="1"/>
  <c r="A9" i="70" s="1"/>
  <c r="A10" i="70" s="1"/>
  <c r="A11" i="70" s="1"/>
  <c r="A12" i="70" s="1"/>
  <c r="A13" i="70" s="1"/>
  <c r="A14" i="70" s="1"/>
  <c r="A15" i="70" s="1"/>
  <c r="A16" i="70" s="1"/>
  <c r="D18" i="70"/>
  <c r="D19" i="70" s="1"/>
  <c r="D20" i="70" s="1"/>
  <c r="D21" i="70" s="1"/>
  <c r="D22" i="70" s="1"/>
  <c r="D23" i="70" s="1"/>
  <c r="D24" i="70" s="1"/>
  <c r="D25" i="70" s="1"/>
  <c r="D26" i="70" s="1"/>
  <c r="D27" i="70" s="1"/>
  <c r="D28" i="70" s="1"/>
  <c r="D29" i="70" s="1"/>
  <c r="D30" i="70" s="1"/>
  <c r="D31" i="70" s="1"/>
  <c r="D32" i="70" s="1"/>
  <c r="D33" i="70" s="1"/>
  <c r="D34" i="70" s="1"/>
  <c r="AB8" i="70" s="1"/>
  <c r="A104" i="45"/>
  <c r="F106" i="45"/>
  <c r="G105" i="45"/>
  <c r="E107" i="45"/>
  <c r="D2" i="72"/>
  <c r="D15" i="72"/>
  <c r="D16" i="72" s="1"/>
  <c r="F102" i="70"/>
  <c r="G102" i="70" s="1"/>
  <c r="E103" i="70"/>
  <c r="D61" i="45" l="1"/>
  <c r="A17" i="70"/>
  <c r="F103" i="70"/>
  <c r="F104" i="70" s="1"/>
  <c r="F107" i="45"/>
  <c r="G106" i="45"/>
  <c r="E108" i="45"/>
  <c r="A105" i="45"/>
  <c r="E104" i="70"/>
  <c r="A103" i="70"/>
  <c r="C4" i="49"/>
  <c r="C19" i="49" s="1"/>
  <c r="B19" i="49"/>
  <c r="D62" i="45" l="1"/>
  <c r="G103" i="70"/>
  <c r="A18" i="70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30" i="70" s="1"/>
  <c r="A31" i="70" s="1"/>
  <c r="A32" i="70" s="1"/>
  <c r="A33" i="70" s="1"/>
  <c r="A34" i="70" s="1"/>
  <c r="E109" i="45"/>
  <c r="G107" i="45"/>
  <c r="F108" i="45"/>
  <c r="A106" i="45"/>
  <c r="E105" i="70"/>
  <c r="A104" i="70"/>
  <c r="F105" i="70"/>
  <c r="G104" i="70"/>
  <c r="D4" i="49"/>
  <c r="D19" i="49" s="1"/>
  <c r="F17" i="67"/>
  <c r="F18" i="67" s="1"/>
  <c r="E17" i="67"/>
  <c r="B17" i="67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F4" i="67"/>
  <c r="G4" i="67" s="1"/>
  <c r="E4" i="67"/>
  <c r="E5" i="67" s="1"/>
  <c r="E6" i="67" s="1"/>
  <c r="E7" i="67" s="1"/>
  <c r="E8" i="67" s="1"/>
  <c r="E9" i="67" s="1"/>
  <c r="E10" i="67" s="1"/>
  <c r="E11" i="67" s="1"/>
  <c r="E12" i="67" s="1"/>
  <c r="D4" i="67"/>
  <c r="B4" i="67"/>
  <c r="B5" i="67" s="1"/>
  <c r="B6" i="67" s="1"/>
  <c r="B7" i="67" s="1"/>
  <c r="B8" i="67" s="1"/>
  <c r="B9" i="67" s="1"/>
  <c r="B10" i="67" s="1"/>
  <c r="B11" i="67" s="1"/>
  <c r="B12" i="67" s="1"/>
  <c r="G3" i="67"/>
  <c r="F27" i="49"/>
  <c r="F17" i="49"/>
  <c r="D63" i="45" l="1"/>
  <c r="E110" i="45"/>
  <c r="F109" i="45"/>
  <c r="G108" i="45"/>
  <c r="A107" i="45"/>
  <c r="N24" i="39"/>
  <c r="N34" i="39" s="1"/>
  <c r="F106" i="70"/>
  <c r="G105" i="70"/>
  <c r="A105" i="70"/>
  <c r="E106" i="70"/>
  <c r="E4" i="49"/>
  <c r="E19" i="49" s="1"/>
  <c r="G17" i="67"/>
  <c r="F5" i="67"/>
  <c r="D5" i="67"/>
  <c r="E18" i="67"/>
  <c r="F19" i="67"/>
  <c r="G18" i="67"/>
  <c r="J14" i="66"/>
  <c r="I14" i="66"/>
  <c r="J13" i="66"/>
  <c r="I13" i="66"/>
  <c r="J12" i="66"/>
  <c r="I12" i="66"/>
  <c r="J11" i="66"/>
  <c r="I11" i="66"/>
  <c r="J10" i="66"/>
  <c r="I10" i="66"/>
  <c r="J9" i="66"/>
  <c r="I9" i="66"/>
  <c r="B8" i="66"/>
  <c r="J7" i="66"/>
  <c r="H7" i="66"/>
  <c r="G7" i="66"/>
  <c r="F7" i="66"/>
  <c r="E7" i="66"/>
  <c r="D7" i="66"/>
  <c r="C7" i="66"/>
  <c r="J6" i="66"/>
  <c r="J8" i="66" s="1"/>
  <c r="I6" i="66"/>
  <c r="I8" i="66" s="1"/>
  <c r="C6" i="66"/>
  <c r="D6" i="66" s="1"/>
  <c r="I5" i="66"/>
  <c r="J5" i="66" s="1"/>
  <c r="H5" i="66"/>
  <c r="G5" i="66"/>
  <c r="F5" i="66"/>
  <c r="E5" i="66"/>
  <c r="D5" i="66"/>
  <c r="D64" i="45" l="1"/>
  <c r="G109" i="45"/>
  <c r="F110" i="45"/>
  <c r="E111" i="45"/>
  <c r="A108" i="45"/>
  <c r="F4" i="49"/>
  <c r="E107" i="70"/>
  <c r="F107" i="70"/>
  <c r="G106" i="70"/>
  <c r="A106" i="70"/>
  <c r="F19" i="49"/>
  <c r="G4" i="49"/>
  <c r="G5" i="67"/>
  <c r="F6" i="67"/>
  <c r="D6" i="67"/>
  <c r="F20" i="67"/>
  <c r="G19" i="67"/>
  <c r="E19" i="67"/>
  <c r="C8" i="66"/>
  <c r="E6" i="66"/>
  <c r="D8" i="66"/>
  <c r="D65" i="45" l="1"/>
  <c r="A109" i="45"/>
  <c r="E112" i="45"/>
  <c r="G110" i="45"/>
  <c r="F111" i="45"/>
  <c r="A107" i="70"/>
  <c r="G107" i="70"/>
  <c r="F108" i="70"/>
  <c r="E108" i="70"/>
  <c r="G19" i="49"/>
  <c r="H4" i="49"/>
  <c r="F7" i="67"/>
  <c r="G6" i="67"/>
  <c r="F21" i="67"/>
  <c r="G20" i="67"/>
  <c r="E20" i="67"/>
  <c r="D7" i="67"/>
  <c r="E8" i="66"/>
  <c r="F6" i="66"/>
  <c r="D17" i="49"/>
  <c r="E17" i="49"/>
  <c r="G17" i="49"/>
  <c r="H17" i="49"/>
  <c r="I17" i="49"/>
  <c r="C17" i="49"/>
  <c r="D66" i="45" l="1"/>
  <c r="E113" i="45"/>
  <c r="G111" i="45"/>
  <c r="F112" i="45"/>
  <c r="A110" i="45"/>
  <c r="G108" i="70"/>
  <c r="A108" i="70"/>
  <c r="I4" i="49"/>
  <c r="J4" i="49" s="1"/>
  <c r="H19" i="49"/>
  <c r="F8" i="67"/>
  <c r="G7" i="67"/>
  <c r="D8" i="67"/>
  <c r="E21" i="67"/>
  <c r="F22" i="67"/>
  <c r="G21" i="67"/>
  <c r="F8" i="66"/>
  <c r="G6" i="66"/>
  <c r="A3" i="43"/>
  <c r="A3" i="38"/>
  <c r="J6" i="49"/>
  <c r="D67" i="45" l="1"/>
  <c r="E114" i="45"/>
  <c r="F113" i="45"/>
  <c r="G112" i="45"/>
  <c r="A111" i="45"/>
  <c r="G8" i="67"/>
  <c r="F9" i="67"/>
  <c r="F23" i="67"/>
  <c r="G22" i="67"/>
  <c r="E22" i="67"/>
  <c r="D9" i="67"/>
  <c r="G8" i="66"/>
  <c r="H6" i="66"/>
  <c r="H8" i="66" s="1"/>
  <c r="E6" i="49"/>
  <c r="E8" i="49"/>
  <c r="E25" i="49"/>
  <c r="E27" i="49"/>
  <c r="E33" i="49"/>
  <c r="D68" i="45" l="1"/>
  <c r="G113" i="45"/>
  <c r="F114" i="45"/>
  <c r="A112" i="45"/>
  <c r="E115" i="45"/>
  <c r="G9" i="67"/>
  <c r="F10" i="67"/>
  <c r="D10" i="67"/>
  <c r="E23" i="67"/>
  <c r="F24" i="67"/>
  <c r="G23" i="67"/>
  <c r="B32" i="49"/>
  <c r="B33" i="49"/>
  <c r="D69" i="45" l="1"/>
  <c r="E116" i="45"/>
  <c r="F115" i="45"/>
  <c r="G114" i="45"/>
  <c r="A113" i="45"/>
  <c r="F11" i="67"/>
  <c r="G10" i="67"/>
  <c r="G24" i="67"/>
  <c r="F25" i="67"/>
  <c r="E24" i="67"/>
  <c r="D11" i="67"/>
  <c r="D70" i="45" l="1"/>
  <c r="F116" i="45"/>
  <c r="G115" i="45"/>
  <c r="A114" i="45"/>
  <c r="E117" i="45"/>
  <c r="F12" i="67"/>
  <c r="G12" i="67" s="1"/>
  <c r="G11" i="67"/>
  <c r="D12" i="67"/>
  <c r="E25" i="67"/>
  <c r="F26" i="67"/>
  <c r="G25" i="67"/>
  <c r="N5" i="39"/>
  <c r="I5" i="39"/>
  <c r="N4" i="39"/>
  <c r="S4" i="39"/>
  <c r="X4" i="39"/>
  <c r="D24" i="39"/>
  <c r="D71" i="45" l="1"/>
  <c r="D72" i="45" s="1"/>
  <c r="D73" i="45" s="1"/>
  <c r="D74" i="45" s="1"/>
  <c r="D75" i="45" s="1"/>
  <c r="D76" i="45" s="1"/>
  <c r="D77" i="45" s="1"/>
  <c r="D78" i="45" s="1"/>
  <c r="D79" i="45" s="1"/>
  <c r="D80" i="45" s="1"/>
  <c r="D81" i="45" s="1"/>
  <c r="D82" i="45" s="1"/>
  <c r="D83" i="45" s="1"/>
  <c r="D84" i="45" s="1"/>
  <c r="D85" i="45" s="1"/>
  <c r="D86" i="45" s="1"/>
  <c r="D87" i="45" s="1"/>
  <c r="D88" i="45" s="1"/>
  <c r="D89" i="45" s="1"/>
  <c r="D90" i="45" s="1"/>
  <c r="D91" i="45" s="1"/>
  <c r="D92" i="45" s="1"/>
  <c r="D93" i="45" s="1"/>
  <c r="D94" i="45" s="1"/>
  <c r="E118" i="45"/>
  <c r="G116" i="45"/>
  <c r="F117" i="45"/>
  <c r="A115" i="45"/>
  <c r="E26" i="67"/>
  <c r="F27" i="67"/>
  <c r="G26" i="67"/>
  <c r="D17" i="67"/>
  <c r="AD17" i="52"/>
  <c r="AD17" i="47"/>
  <c r="I4" i="39"/>
  <c r="AC4" i="39"/>
  <c r="I24" i="39"/>
  <c r="F118" i="45" l="1"/>
  <c r="G117" i="45"/>
  <c r="A116" i="45"/>
  <c r="E119" i="45"/>
  <c r="D18" i="67"/>
  <c r="E27" i="67"/>
  <c r="F28" i="67"/>
  <c r="G27" i="67"/>
  <c r="E120" i="45" l="1"/>
  <c r="A117" i="45"/>
  <c r="F119" i="45"/>
  <c r="G118" i="45"/>
  <c r="E28" i="67"/>
  <c r="F29" i="67"/>
  <c r="G28" i="67"/>
  <c r="D19" i="67"/>
  <c r="D30" i="49"/>
  <c r="K27" i="49"/>
  <c r="B27" i="49"/>
  <c r="J19" i="49"/>
  <c r="J25" i="49"/>
  <c r="K24" i="49"/>
  <c r="K23" i="49"/>
  <c r="K22" i="49"/>
  <c r="K21" i="49"/>
  <c r="J24" i="49"/>
  <c r="J23" i="49"/>
  <c r="J22" i="49"/>
  <c r="J21" i="49"/>
  <c r="K16" i="49"/>
  <c r="J16" i="49"/>
  <c r="K15" i="49"/>
  <c r="K14" i="49"/>
  <c r="K13" i="49"/>
  <c r="K12" i="49"/>
  <c r="K11" i="49"/>
  <c r="J15" i="49"/>
  <c r="J14" i="49"/>
  <c r="J13" i="49"/>
  <c r="J12" i="49"/>
  <c r="J11" i="49"/>
  <c r="K7" i="49"/>
  <c r="J7" i="49"/>
  <c r="C7" i="49"/>
  <c r="A118" i="45" l="1"/>
  <c r="F120" i="45"/>
  <c r="G120" i="45" s="1"/>
  <c r="G119" i="45"/>
  <c r="K17" i="49"/>
  <c r="E29" i="67"/>
  <c r="D20" i="67"/>
  <c r="F30" i="67"/>
  <c r="G29" i="67"/>
  <c r="J17" i="49"/>
  <c r="D7" i="49"/>
  <c r="E7" i="49" s="1"/>
  <c r="A3" i="44"/>
  <c r="E30" i="49"/>
  <c r="F30" i="49" s="1"/>
  <c r="B4" i="43"/>
  <c r="AB8" i="45" l="1"/>
  <c r="A119" i="45"/>
  <c r="A3" i="67"/>
  <c r="G30" i="49"/>
  <c r="D21" i="67"/>
  <c r="F31" i="67"/>
  <c r="G30" i="67"/>
  <c r="E30" i="67"/>
  <c r="F7" i="49"/>
  <c r="E9" i="49"/>
  <c r="G3" i="38"/>
  <c r="D101" i="70" l="1"/>
  <c r="D102" i="70" s="1"/>
  <c r="D103" i="70" s="1"/>
  <c r="D104" i="70" s="1"/>
  <c r="D105" i="70" s="1"/>
  <c r="D106" i="70" s="1"/>
  <c r="D107" i="70" s="1"/>
  <c r="D108" i="70" s="1"/>
  <c r="D5" i="75"/>
  <c r="A120" i="45"/>
  <c r="A17" i="67"/>
  <c r="A18" i="67" s="1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4" i="67"/>
  <c r="A5" i="67" s="1"/>
  <c r="A6" i="67" s="1"/>
  <c r="A7" i="67" s="1"/>
  <c r="A8" i="67" s="1"/>
  <c r="A9" i="67" s="1"/>
  <c r="A10" i="67" s="1"/>
  <c r="A11" i="67" s="1"/>
  <c r="A12" i="67" s="1"/>
  <c r="G7" i="49"/>
  <c r="H7" i="49" s="1"/>
  <c r="I7" i="49" s="1"/>
  <c r="D22" i="67"/>
  <c r="E31" i="67"/>
  <c r="A31" i="67"/>
  <c r="F32" i="67"/>
  <c r="G31" i="67"/>
  <c r="E34" i="49"/>
  <c r="E57" i="49" s="1"/>
  <c r="H30" i="49"/>
  <c r="A3" i="46"/>
  <c r="I27" i="49"/>
  <c r="H27" i="49"/>
  <c r="G27" i="49"/>
  <c r="D27" i="49"/>
  <c r="I6" i="49"/>
  <c r="H6" i="49"/>
  <c r="G6" i="49"/>
  <c r="D6" i="49"/>
  <c r="F6" i="49" s="1"/>
  <c r="E86" i="49" l="1"/>
  <c r="E58" i="49"/>
  <c r="E82" i="49"/>
  <c r="E59" i="49"/>
  <c r="E62" i="49"/>
  <c r="N25" i="39"/>
  <c r="N27" i="39" s="1"/>
  <c r="E32" i="67"/>
  <c r="A32" i="67"/>
  <c r="F33" i="67"/>
  <c r="G32" i="67"/>
  <c r="D23" i="67"/>
  <c r="I30" i="49"/>
  <c r="A3" i="50"/>
  <c r="AC5" i="39"/>
  <c r="D25" i="39"/>
  <c r="S5" i="39"/>
  <c r="I25" i="39"/>
  <c r="X5" i="39"/>
  <c r="J9" i="49"/>
  <c r="E63" i="49" l="1"/>
  <c r="E70" i="49"/>
  <c r="E71" i="49" s="1"/>
  <c r="E83" i="49"/>
  <c r="E85" i="49"/>
  <c r="E92" i="49"/>
  <c r="N30" i="39"/>
  <c r="N28" i="39"/>
  <c r="D24" i="67"/>
  <c r="A33" i="67"/>
  <c r="E33" i="67"/>
  <c r="F34" i="67"/>
  <c r="G33" i="67"/>
  <c r="A3" i="51"/>
  <c r="K8" i="49"/>
  <c r="K33" i="49"/>
  <c r="J33" i="49"/>
  <c r="J34" i="49" s="1"/>
  <c r="I33" i="49"/>
  <c r="H33" i="49"/>
  <c r="G33" i="49"/>
  <c r="D33" i="49"/>
  <c r="F33" i="49" s="1"/>
  <c r="J30" i="49"/>
  <c r="K25" i="49"/>
  <c r="I25" i="49"/>
  <c r="H25" i="49"/>
  <c r="G25" i="49"/>
  <c r="D25" i="49"/>
  <c r="C25" i="49"/>
  <c r="F25" i="49" s="1"/>
  <c r="I8" i="49"/>
  <c r="H8" i="49"/>
  <c r="G8" i="49"/>
  <c r="D8" i="49"/>
  <c r="C8" i="49"/>
  <c r="F8" i="49" s="1"/>
  <c r="E87" i="49" l="1"/>
  <c r="E88" i="49" s="1"/>
  <c r="E89" i="49" s="1"/>
  <c r="E90" i="49"/>
  <c r="E91" i="49"/>
  <c r="E64" i="49"/>
  <c r="E66" i="49" s="1"/>
  <c r="F9" i="49"/>
  <c r="F34" i="49"/>
  <c r="F57" i="49" s="1"/>
  <c r="E34" i="67"/>
  <c r="F35" i="67"/>
  <c r="G34" i="67"/>
  <c r="A34" i="67"/>
  <c r="D25" i="67"/>
  <c r="K30" i="49"/>
  <c r="A3" i="52" s="1"/>
  <c r="A3" i="47"/>
  <c r="K6" i="49"/>
  <c r="K9" i="49"/>
  <c r="K34" i="49" s="1"/>
  <c r="K19" i="49"/>
  <c r="I19" i="49"/>
  <c r="F59" i="49" l="1"/>
  <c r="F86" i="49"/>
  <c r="F58" i="49"/>
  <c r="F82" i="49"/>
  <c r="F62" i="49"/>
  <c r="D26" i="67"/>
  <c r="F36" i="67"/>
  <c r="F37" i="67" s="1"/>
  <c r="G37" i="67" s="1"/>
  <c r="G35" i="67"/>
  <c r="E35" i="67"/>
  <c r="A35" i="67"/>
  <c r="D32" i="49"/>
  <c r="B9" i="49"/>
  <c r="F63" i="49" l="1"/>
  <c r="F70" i="49"/>
  <c r="F71" i="49" s="1"/>
  <c r="F83" i="49"/>
  <c r="F85" i="49"/>
  <c r="F92" i="49"/>
  <c r="AC18" i="67"/>
  <c r="G36" i="67"/>
  <c r="E36" i="67"/>
  <c r="E37" i="67" s="1"/>
  <c r="A36" i="67"/>
  <c r="A37" i="67" s="1"/>
  <c r="D27" i="67"/>
  <c r="E32" i="49"/>
  <c r="C9" i="49"/>
  <c r="H9" i="49"/>
  <c r="G9" i="49"/>
  <c r="I9" i="49"/>
  <c r="F87" i="49" l="1"/>
  <c r="F88" i="49" s="1"/>
  <c r="F89" i="49" s="1"/>
  <c r="F90" i="49"/>
  <c r="F91" i="49"/>
  <c r="F64" i="49"/>
  <c r="F66" i="49" s="1"/>
  <c r="F32" i="49"/>
  <c r="I107" i="70"/>
  <c r="K107" i="70" s="1"/>
  <c r="I102" i="70"/>
  <c r="K102" i="70" s="1"/>
  <c r="I101" i="70"/>
  <c r="K101" i="70" s="1"/>
  <c r="I103" i="70"/>
  <c r="K103" i="70" s="1"/>
  <c r="I104" i="70"/>
  <c r="K104" i="70" s="1"/>
  <c r="I3" i="70"/>
  <c r="I4" i="70" s="1"/>
  <c r="K4" i="70" s="1"/>
  <c r="I105" i="70"/>
  <c r="K105" i="70" s="1"/>
  <c r="I106" i="70"/>
  <c r="K106" i="70" s="1"/>
  <c r="I108" i="70"/>
  <c r="K108" i="70" s="1"/>
  <c r="D28" i="67"/>
  <c r="D9" i="49"/>
  <c r="D34" i="49" s="1"/>
  <c r="D57" i="49" s="1"/>
  <c r="G34" i="49"/>
  <c r="G57" i="49" s="1"/>
  <c r="H34" i="49"/>
  <c r="H57" i="49" s="1"/>
  <c r="I34" i="49"/>
  <c r="I57" i="49" s="1"/>
  <c r="C34" i="49"/>
  <c r="C57" i="49" s="1"/>
  <c r="B34" i="49"/>
  <c r="B57" i="49" s="1"/>
  <c r="B62" i="49" l="1"/>
  <c r="B82" i="49"/>
  <c r="B58" i="49"/>
  <c r="B59" i="49"/>
  <c r="B86" i="49"/>
  <c r="H58" i="49"/>
  <c r="H82" i="49"/>
  <c r="H59" i="49"/>
  <c r="H86" i="49"/>
  <c r="H62" i="49"/>
  <c r="I58" i="49"/>
  <c r="I82" i="49"/>
  <c r="I59" i="49"/>
  <c r="I86" i="49"/>
  <c r="I62" i="49"/>
  <c r="G59" i="49"/>
  <c r="G86" i="49"/>
  <c r="G62" i="49"/>
  <c r="G58" i="49"/>
  <c r="G82" i="49"/>
  <c r="C58" i="49"/>
  <c r="C82" i="49"/>
  <c r="C59" i="49"/>
  <c r="C86" i="49"/>
  <c r="C62" i="49"/>
  <c r="D86" i="49"/>
  <c r="D58" i="49"/>
  <c r="D82" i="49"/>
  <c r="D59" i="49"/>
  <c r="D62" i="49"/>
  <c r="A38" i="45"/>
  <c r="AD17" i="67"/>
  <c r="AB3" i="70"/>
  <c r="B3" i="70" s="1"/>
  <c r="G32" i="49"/>
  <c r="K3" i="70"/>
  <c r="D29" i="67"/>
  <c r="H32" i="49"/>
  <c r="C83" i="49" l="1"/>
  <c r="C85" i="49"/>
  <c r="C92" i="49"/>
  <c r="G83" i="49"/>
  <c r="G85" i="49"/>
  <c r="G92" i="49"/>
  <c r="I70" i="49"/>
  <c r="I71" i="49" s="1"/>
  <c r="I63" i="49"/>
  <c r="I83" i="49"/>
  <c r="I85" i="49"/>
  <c r="I92" i="49"/>
  <c r="D63" i="49"/>
  <c r="D64" i="49"/>
  <c r="D66" i="49" s="1"/>
  <c r="D70" i="49"/>
  <c r="D71" i="49" s="1"/>
  <c r="G63" i="49"/>
  <c r="G70" i="49"/>
  <c r="G71" i="49" s="1"/>
  <c r="B83" i="49"/>
  <c r="B85" i="49"/>
  <c r="B92" i="49"/>
  <c r="H83" i="49"/>
  <c r="H92" i="49"/>
  <c r="H85" i="49"/>
  <c r="D83" i="49"/>
  <c r="D85" i="49"/>
  <c r="D92" i="49"/>
  <c r="H70" i="49"/>
  <c r="H71" i="49" s="1"/>
  <c r="H63" i="49"/>
  <c r="C63" i="49"/>
  <c r="C64" i="49"/>
  <c r="C66" i="49" s="1"/>
  <c r="C70" i="49"/>
  <c r="C71" i="49" s="1"/>
  <c r="B63" i="49"/>
  <c r="B70" i="49"/>
  <c r="B71" i="49" s="1"/>
  <c r="AB13" i="70"/>
  <c r="AB7" i="70"/>
  <c r="A39" i="45"/>
  <c r="H27" i="70"/>
  <c r="H28" i="70"/>
  <c r="H29" i="70"/>
  <c r="H30" i="70"/>
  <c r="H31" i="70"/>
  <c r="H32" i="70"/>
  <c r="H33" i="70"/>
  <c r="B4" i="70"/>
  <c r="H34" i="70"/>
  <c r="H19" i="70"/>
  <c r="H20" i="70"/>
  <c r="H21" i="70"/>
  <c r="H22" i="70"/>
  <c r="H23" i="70"/>
  <c r="H24" i="70"/>
  <c r="H25" i="70"/>
  <c r="H26" i="70"/>
  <c r="H4" i="70"/>
  <c r="H8" i="70"/>
  <c r="H7" i="70"/>
  <c r="H6" i="70"/>
  <c r="H9" i="70"/>
  <c r="H10" i="70"/>
  <c r="H11" i="70"/>
  <c r="H12" i="70"/>
  <c r="H13" i="70"/>
  <c r="H14" i="70"/>
  <c r="H15" i="70"/>
  <c r="H16" i="70"/>
  <c r="H17" i="70"/>
  <c r="H18" i="70"/>
  <c r="I5" i="70"/>
  <c r="H5" i="70"/>
  <c r="D4" i="75"/>
  <c r="AC17" i="67"/>
  <c r="H107" i="70"/>
  <c r="H103" i="70"/>
  <c r="H101" i="70"/>
  <c r="H108" i="70"/>
  <c r="H104" i="70"/>
  <c r="H105" i="70"/>
  <c r="H106" i="70"/>
  <c r="H102" i="70"/>
  <c r="H3" i="70"/>
  <c r="D30" i="67"/>
  <c r="I32" i="49"/>
  <c r="I64" i="49" l="1"/>
  <c r="I66" i="49" s="1"/>
  <c r="G87" i="49"/>
  <c r="G88" i="49" s="1"/>
  <c r="G89" i="49" s="1"/>
  <c r="G90" i="49"/>
  <c r="G91" i="49"/>
  <c r="H64" i="49"/>
  <c r="H66" i="49" s="1"/>
  <c r="B87" i="49"/>
  <c r="B88" i="49" s="1"/>
  <c r="B89" i="49" s="1"/>
  <c r="B90" i="49"/>
  <c r="B91" i="49"/>
  <c r="B64" i="49"/>
  <c r="B66" i="49" s="1"/>
  <c r="I91" i="49"/>
  <c r="I87" i="49"/>
  <c r="I88" i="49" s="1"/>
  <c r="I89" i="49" s="1"/>
  <c r="I90" i="49"/>
  <c r="H91" i="49"/>
  <c r="H87" i="49"/>
  <c r="H88" i="49" s="1"/>
  <c r="H89" i="49" s="1"/>
  <c r="H90" i="49"/>
  <c r="C87" i="49"/>
  <c r="C88" i="49" s="1"/>
  <c r="C89" i="49" s="1"/>
  <c r="C90" i="49"/>
  <c r="C91" i="49"/>
  <c r="D90" i="49"/>
  <c r="D91" i="49"/>
  <c r="D87" i="49"/>
  <c r="D88" i="49" s="1"/>
  <c r="D89" i="49" s="1"/>
  <c r="G64" i="49"/>
  <c r="G66" i="49" s="1"/>
  <c r="A40" i="45"/>
  <c r="J4" i="70"/>
  <c r="L4" i="70" s="1"/>
  <c r="I6" i="70"/>
  <c r="K5" i="70"/>
  <c r="B9" i="75"/>
  <c r="D14" i="75"/>
  <c r="D7" i="75"/>
  <c r="D31" i="67"/>
  <c r="AC17" i="38"/>
  <c r="J32" i="49"/>
  <c r="K32" i="49" s="1"/>
  <c r="AD17" i="38"/>
  <c r="A41" i="45" l="1"/>
  <c r="M4" i="70"/>
  <c r="N4" i="70" s="1"/>
  <c r="P4" i="70" s="1"/>
  <c r="I7" i="70"/>
  <c r="K6" i="70"/>
  <c r="D10" i="75"/>
  <c r="D8" i="75"/>
  <c r="E9" i="75"/>
  <c r="C9" i="75"/>
  <c r="D32" i="67"/>
  <c r="A42" i="45" l="1"/>
  <c r="Q4" i="70"/>
  <c r="R4" i="70" s="1"/>
  <c r="I8" i="70"/>
  <c r="K7" i="70"/>
  <c r="D9" i="75"/>
  <c r="D12" i="75" s="1"/>
  <c r="D3" i="75" s="1"/>
  <c r="D2" i="75" s="1"/>
  <c r="D33" i="67"/>
  <c r="A43" i="45" l="1"/>
  <c r="I9" i="70"/>
  <c r="K8" i="70"/>
  <c r="D15" i="75"/>
  <c r="D16" i="75" s="1"/>
  <c r="D34" i="67"/>
  <c r="A44" i="45" l="1"/>
  <c r="I10" i="70"/>
  <c r="K9" i="70"/>
  <c r="D35" i="67"/>
  <c r="AC18" i="52"/>
  <c r="AC18" i="47"/>
  <c r="A45" i="45" l="1"/>
  <c r="I11" i="70"/>
  <c r="K10" i="70"/>
  <c r="D36" i="67"/>
  <c r="D37" i="67" s="1"/>
  <c r="I37" i="67" s="1"/>
  <c r="K37" i="67" s="1"/>
  <c r="F17" i="52"/>
  <c r="G17" i="52" s="1"/>
  <c r="E17" i="52"/>
  <c r="E18" i="52" s="1"/>
  <c r="E19" i="52" s="1"/>
  <c r="E20" i="52" s="1"/>
  <c r="B17" i="52"/>
  <c r="B18" i="52" s="1"/>
  <c r="B19" i="52" s="1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31" i="52" s="1"/>
  <c r="B32" i="52" s="1"/>
  <c r="B33" i="52" s="1"/>
  <c r="B34" i="52" s="1"/>
  <c r="B35" i="52" s="1"/>
  <c r="B36" i="52" s="1"/>
  <c r="B37" i="52" s="1"/>
  <c r="B38" i="52" s="1"/>
  <c r="B39" i="52" s="1"/>
  <c r="B40" i="52" s="1"/>
  <c r="B41" i="52" s="1"/>
  <c r="B42" i="52" s="1"/>
  <c r="B43" i="52" s="1"/>
  <c r="B44" i="52" s="1"/>
  <c r="A17" i="52"/>
  <c r="A18" i="52" s="1"/>
  <c r="F4" i="52"/>
  <c r="G4" i="52" s="1"/>
  <c r="E4" i="52"/>
  <c r="E5" i="52" s="1"/>
  <c r="E6" i="52" s="1"/>
  <c r="E7" i="52" s="1"/>
  <c r="E8" i="52" s="1"/>
  <c r="E9" i="52" s="1"/>
  <c r="E10" i="52" s="1"/>
  <c r="E11" i="52" s="1"/>
  <c r="E12" i="52" s="1"/>
  <c r="D4" i="52"/>
  <c r="B4" i="52"/>
  <c r="B5" i="52" s="1"/>
  <c r="B6" i="52" s="1"/>
  <c r="B7" i="52" s="1"/>
  <c r="B8" i="52" s="1"/>
  <c r="B9" i="52" s="1"/>
  <c r="B10" i="52" s="1"/>
  <c r="B11" i="52" s="1"/>
  <c r="B12" i="52" s="1"/>
  <c r="A4" i="52"/>
  <c r="G3" i="52"/>
  <c r="AC25" i="39"/>
  <c r="AC27" i="39" s="1"/>
  <c r="AC30" i="39" s="1"/>
  <c r="X25" i="39"/>
  <c r="X27" i="39" s="1"/>
  <c r="X30" i="39" s="1"/>
  <c r="AC22" i="39"/>
  <c r="V35" i="39"/>
  <c r="D34" i="39"/>
  <c r="F17" i="51"/>
  <c r="G17" i="51" s="1"/>
  <c r="E17" i="51"/>
  <c r="E18" i="51" s="1"/>
  <c r="E19" i="51" s="1"/>
  <c r="B17" i="51"/>
  <c r="B18" i="51" s="1"/>
  <c r="B19" i="51" s="1"/>
  <c r="B20" i="51" s="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32" i="51" s="1"/>
  <c r="B33" i="51" s="1"/>
  <c r="B34" i="51" s="1"/>
  <c r="B35" i="51" s="1"/>
  <c r="B36" i="51" s="1"/>
  <c r="B37" i="51" s="1"/>
  <c r="B38" i="51" s="1"/>
  <c r="A17" i="51"/>
  <c r="A18" i="51" s="1"/>
  <c r="F4" i="51"/>
  <c r="G4" i="51" s="1"/>
  <c r="E4" i="51"/>
  <c r="E5" i="51" s="1"/>
  <c r="E6" i="51" s="1"/>
  <c r="E7" i="51" s="1"/>
  <c r="E8" i="51" s="1"/>
  <c r="E9" i="51" s="1"/>
  <c r="E10" i="51" s="1"/>
  <c r="E11" i="51" s="1"/>
  <c r="E12" i="51" s="1"/>
  <c r="D4" i="51"/>
  <c r="B4" i="51"/>
  <c r="B5" i="51" s="1"/>
  <c r="B6" i="51" s="1"/>
  <c r="B7" i="51" s="1"/>
  <c r="B8" i="51" s="1"/>
  <c r="B9" i="51" s="1"/>
  <c r="B10" i="51" s="1"/>
  <c r="B11" i="51" s="1"/>
  <c r="B12" i="51" s="1"/>
  <c r="A4" i="51"/>
  <c r="A5" i="51" s="1"/>
  <c r="G3" i="51"/>
  <c r="F17" i="50"/>
  <c r="F18" i="50" s="1"/>
  <c r="F19" i="50" s="1"/>
  <c r="E17" i="50"/>
  <c r="E18" i="50" s="1"/>
  <c r="E19" i="50" s="1"/>
  <c r="B17" i="50"/>
  <c r="B18" i="50" s="1"/>
  <c r="B19" i="50" s="1"/>
  <c r="B20" i="50" s="1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B35" i="50" s="1"/>
  <c r="B36" i="50" s="1"/>
  <c r="B37" i="50" s="1"/>
  <c r="B38" i="50" s="1"/>
  <c r="A17" i="50"/>
  <c r="A18" i="50" s="1"/>
  <c r="F4" i="50"/>
  <c r="G4" i="50" s="1"/>
  <c r="E4" i="50"/>
  <c r="E5" i="50" s="1"/>
  <c r="E6" i="50" s="1"/>
  <c r="E7" i="50" s="1"/>
  <c r="E8" i="50" s="1"/>
  <c r="E9" i="50" s="1"/>
  <c r="E10" i="50" s="1"/>
  <c r="E11" i="50" s="1"/>
  <c r="E12" i="50" s="1"/>
  <c r="D4" i="50"/>
  <c r="D5" i="50" s="1"/>
  <c r="B4" i="50"/>
  <c r="B5" i="50" s="1"/>
  <c r="B6" i="50" s="1"/>
  <c r="B7" i="50" s="1"/>
  <c r="B8" i="50" s="1"/>
  <c r="B9" i="50" s="1"/>
  <c r="B10" i="50" s="1"/>
  <c r="B11" i="50" s="1"/>
  <c r="B12" i="50" s="1"/>
  <c r="A4" i="50"/>
  <c r="G3" i="50"/>
  <c r="AC34" i="39"/>
  <c r="X34" i="39"/>
  <c r="A46" i="45" l="1"/>
  <c r="K11" i="70"/>
  <c r="I12" i="70"/>
  <c r="D27" i="39"/>
  <c r="D30" i="39" s="1"/>
  <c r="A5" i="52"/>
  <c r="A19" i="52"/>
  <c r="D5" i="52"/>
  <c r="F5" i="52"/>
  <c r="E21" i="52"/>
  <c r="F18" i="52"/>
  <c r="I34" i="39"/>
  <c r="I27" i="39"/>
  <c r="F5" i="51"/>
  <c r="F6" i="51" s="1"/>
  <c r="F18" i="51"/>
  <c r="G18" i="51" s="1"/>
  <c r="F5" i="50"/>
  <c r="G5" i="50" s="1"/>
  <c r="A6" i="51"/>
  <c r="B39" i="51"/>
  <c r="B40" i="51" s="1"/>
  <c r="B41" i="51" s="1"/>
  <c r="B42" i="51" s="1"/>
  <c r="B43" i="51" s="1"/>
  <c r="B44" i="51" s="1"/>
  <c r="B45" i="51" s="1"/>
  <c r="B46" i="51" s="1"/>
  <c r="B47" i="51" s="1"/>
  <c r="D5" i="51"/>
  <c r="A19" i="51"/>
  <c r="E20" i="51"/>
  <c r="D6" i="50"/>
  <c r="E20" i="50"/>
  <c r="B39" i="50"/>
  <c r="B40" i="50" s="1"/>
  <c r="B41" i="50" s="1"/>
  <c r="B42" i="50" s="1"/>
  <c r="B43" i="50" s="1"/>
  <c r="B44" i="50" s="1"/>
  <c r="B45" i="50" s="1"/>
  <c r="B46" i="50" s="1"/>
  <c r="B47" i="50" s="1"/>
  <c r="A19" i="50"/>
  <c r="F20" i="50"/>
  <c r="G19" i="50"/>
  <c r="A5" i="50"/>
  <c r="G17" i="50"/>
  <c r="G18" i="50"/>
  <c r="X28" i="39"/>
  <c r="AC28" i="39"/>
  <c r="A47" i="45" l="1"/>
  <c r="K12" i="70"/>
  <c r="I13" i="70"/>
  <c r="D28" i="39"/>
  <c r="A6" i="52"/>
  <c r="F6" i="52"/>
  <c r="G5" i="52"/>
  <c r="F19" i="52"/>
  <c r="G18" i="52"/>
  <c r="D6" i="52"/>
  <c r="E22" i="52"/>
  <c r="A20" i="52"/>
  <c r="I30" i="39"/>
  <c r="I28" i="39"/>
  <c r="G5" i="51"/>
  <c r="F19" i="51"/>
  <c r="G19" i="51" s="1"/>
  <c r="F6" i="50"/>
  <c r="F7" i="50" s="1"/>
  <c r="G7" i="50" s="1"/>
  <c r="B48" i="51"/>
  <c r="B49" i="51" s="1"/>
  <c r="B50" i="51" s="1"/>
  <c r="B51" i="51" s="1"/>
  <c r="B52" i="51" s="1"/>
  <c r="E21" i="51"/>
  <c r="D6" i="51"/>
  <c r="G6" i="51"/>
  <c r="F7" i="51"/>
  <c r="A7" i="51"/>
  <c r="A20" i="51"/>
  <c r="F21" i="50"/>
  <c r="G20" i="50"/>
  <c r="D7" i="50"/>
  <c r="A6" i="50"/>
  <c r="E21" i="50"/>
  <c r="A20" i="50"/>
  <c r="A48" i="45" l="1"/>
  <c r="K13" i="70"/>
  <c r="I14" i="70"/>
  <c r="I36" i="67"/>
  <c r="K36" i="67" s="1"/>
  <c r="I32" i="67"/>
  <c r="K32" i="67" s="1"/>
  <c r="I34" i="67"/>
  <c r="K34" i="67" s="1"/>
  <c r="E23" i="52"/>
  <c r="G19" i="52"/>
  <c r="F20" i="52"/>
  <c r="A21" i="52"/>
  <c r="D7" i="52"/>
  <c r="F7" i="52"/>
  <c r="G6" i="52"/>
  <c r="A7" i="52"/>
  <c r="F20" i="51"/>
  <c r="F21" i="51" s="1"/>
  <c r="F8" i="50"/>
  <c r="F9" i="50" s="1"/>
  <c r="F10" i="50" s="1"/>
  <c r="G6" i="50"/>
  <c r="A21" i="51"/>
  <c r="G7" i="51"/>
  <c r="F8" i="51"/>
  <c r="A8" i="51"/>
  <c r="E22" i="51"/>
  <c r="D7" i="51"/>
  <c r="A21" i="50"/>
  <c r="A7" i="50"/>
  <c r="F22" i="50"/>
  <c r="G21" i="50"/>
  <c r="D8" i="50"/>
  <c r="E22" i="50"/>
  <c r="AC18" i="50"/>
  <c r="AC18" i="51"/>
  <c r="AC18" i="43"/>
  <c r="A49" i="45" l="1"/>
  <c r="I15" i="70"/>
  <c r="K14" i="70"/>
  <c r="I19" i="67"/>
  <c r="K19" i="67" s="1"/>
  <c r="I3" i="67"/>
  <c r="I17" i="67"/>
  <c r="K17" i="67" s="1"/>
  <c r="I18" i="67"/>
  <c r="K18" i="67" s="1"/>
  <c r="I20" i="67"/>
  <c r="K20" i="67" s="1"/>
  <c r="I21" i="67"/>
  <c r="K21" i="67" s="1"/>
  <c r="I22" i="67"/>
  <c r="K22" i="67" s="1"/>
  <c r="I23" i="67"/>
  <c r="K23" i="67" s="1"/>
  <c r="I24" i="67"/>
  <c r="K24" i="67" s="1"/>
  <c r="I25" i="67"/>
  <c r="K25" i="67" s="1"/>
  <c r="I26" i="67"/>
  <c r="K26" i="67" s="1"/>
  <c r="I27" i="67"/>
  <c r="K27" i="67" s="1"/>
  <c r="I28" i="67"/>
  <c r="K28" i="67" s="1"/>
  <c r="I29" i="67"/>
  <c r="K29" i="67" s="1"/>
  <c r="I30" i="67"/>
  <c r="K30" i="67" s="1"/>
  <c r="I33" i="67"/>
  <c r="K33" i="67" s="1"/>
  <c r="I35" i="67"/>
  <c r="K35" i="67" s="1"/>
  <c r="I31" i="67"/>
  <c r="K31" i="67" s="1"/>
  <c r="AC18" i="38"/>
  <c r="AC18" i="44"/>
  <c r="A8" i="52"/>
  <c r="F8" i="52"/>
  <c r="G7" i="52"/>
  <c r="A22" i="52"/>
  <c r="E24" i="52"/>
  <c r="D8" i="52"/>
  <c r="G20" i="52"/>
  <c r="F21" i="52"/>
  <c r="G20" i="51"/>
  <c r="G9" i="50"/>
  <c r="G8" i="50"/>
  <c r="A9" i="51"/>
  <c r="D8" i="51"/>
  <c r="F9" i="51"/>
  <c r="G8" i="51"/>
  <c r="G21" i="51"/>
  <c r="F22" i="51"/>
  <c r="A22" i="51"/>
  <c r="E23" i="51"/>
  <c r="E23" i="50"/>
  <c r="D9" i="50"/>
  <c r="A8" i="50"/>
  <c r="F11" i="50"/>
  <c r="G10" i="50"/>
  <c r="F23" i="50"/>
  <c r="G22" i="50"/>
  <c r="A22" i="50"/>
  <c r="A50" i="45" l="1"/>
  <c r="I16" i="70"/>
  <c r="K15" i="70"/>
  <c r="AB4" i="67"/>
  <c r="AB3" i="67"/>
  <c r="H37" i="67" s="1"/>
  <c r="J37" i="67" s="1"/>
  <c r="K3" i="67"/>
  <c r="K4" i="67" s="1"/>
  <c r="K5" i="67" s="1"/>
  <c r="K6" i="67" s="1"/>
  <c r="K7" i="67" s="1"/>
  <c r="K8" i="67" s="1"/>
  <c r="K9" i="67" s="1"/>
  <c r="K10" i="67" s="1"/>
  <c r="K11" i="67" s="1"/>
  <c r="K12" i="67" s="1"/>
  <c r="I4" i="67"/>
  <c r="I5" i="67" s="1"/>
  <c r="I6" i="67" s="1"/>
  <c r="I7" i="67" s="1"/>
  <c r="I8" i="67" s="1"/>
  <c r="I9" i="67" s="1"/>
  <c r="I10" i="67" s="1"/>
  <c r="I11" i="67" s="1"/>
  <c r="I12" i="67" s="1"/>
  <c r="AD17" i="43"/>
  <c r="AD17" i="44"/>
  <c r="AD17" i="50"/>
  <c r="AD17" i="51"/>
  <c r="G8" i="52"/>
  <c r="F9" i="52"/>
  <c r="F22" i="52"/>
  <c r="G21" i="52"/>
  <c r="E25" i="52"/>
  <c r="D9" i="52"/>
  <c r="A23" i="52"/>
  <c r="A9" i="52"/>
  <c r="A23" i="51"/>
  <c r="D9" i="51"/>
  <c r="F10" i="51"/>
  <c r="G9" i="51"/>
  <c r="E24" i="51"/>
  <c r="G22" i="51"/>
  <c r="F23" i="51"/>
  <c r="A10" i="51"/>
  <c r="D10" i="50"/>
  <c r="G23" i="50"/>
  <c r="F24" i="50"/>
  <c r="A9" i="50"/>
  <c r="A23" i="50"/>
  <c r="E24" i="50"/>
  <c r="F12" i="50"/>
  <c r="G12" i="50" s="1"/>
  <c r="G11" i="50"/>
  <c r="A51" i="45" l="1"/>
  <c r="I17" i="70"/>
  <c r="K16" i="70"/>
  <c r="L37" i="67"/>
  <c r="M37" i="67"/>
  <c r="N37" i="67" s="1"/>
  <c r="H36" i="67"/>
  <c r="J36" i="67" s="1"/>
  <c r="H32" i="67"/>
  <c r="J32" i="67" s="1"/>
  <c r="H28" i="67"/>
  <c r="J28" i="67" s="1"/>
  <c r="H34" i="67"/>
  <c r="J34" i="67" s="1"/>
  <c r="H30" i="67"/>
  <c r="J30" i="67" s="1"/>
  <c r="H33" i="67"/>
  <c r="J33" i="67" s="1"/>
  <c r="H29" i="67"/>
  <c r="J29" i="67" s="1"/>
  <c r="H27" i="67"/>
  <c r="J27" i="67" s="1"/>
  <c r="H24" i="67"/>
  <c r="J24" i="67" s="1"/>
  <c r="H21" i="67"/>
  <c r="J21" i="67" s="1"/>
  <c r="H18" i="67"/>
  <c r="J18" i="67" s="1"/>
  <c r="H35" i="67"/>
  <c r="J35" i="67" s="1"/>
  <c r="H26" i="67"/>
  <c r="J26" i="67" s="1"/>
  <c r="H22" i="67"/>
  <c r="J22" i="67" s="1"/>
  <c r="H19" i="67"/>
  <c r="J19" i="67" s="1"/>
  <c r="H25" i="67"/>
  <c r="J25" i="67" s="1"/>
  <c r="H17" i="67"/>
  <c r="J17" i="67" s="1"/>
  <c r="H31" i="67"/>
  <c r="J31" i="67" s="1"/>
  <c r="H23" i="67"/>
  <c r="J23" i="67" s="1"/>
  <c r="AB17" i="67"/>
  <c r="H4" i="67"/>
  <c r="J4" i="67" s="1"/>
  <c r="H3" i="67"/>
  <c r="J3" i="67" s="1"/>
  <c r="H20" i="67"/>
  <c r="J20" i="67" s="1"/>
  <c r="H5" i="67"/>
  <c r="J5" i="67" s="1"/>
  <c r="H6" i="67"/>
  <c r="J6" i="67" s="1"/>
  <c r="H7" i="67"/>
  <c r="J7" i="67" s="1"/>
  <c r="H8" i="67"/>
  <c r="J8" i="67" s="1"/>
  <c r="H9" i="67"/>
  <c r="J9" i="67" s="1"/>
  <c r="H10" i="67"/>
  <c r="J10" i="67" s="1"/>
  <c r="H11" i="67"/>
  <c r="J11" i="67" s="1"/>
  <c r="H12" i="67"/>
  <c r="J12" i="67" s="1"/>
  <c r="AC17" i="51"/>
  <c r="AC17" i="43"/>
  <c r="AC17" i="50"/>
  <c r="AC17" i="44"/>
  <c r="F23" i="52"/>
  <c r="G22" i="52"/>
  <c r="A24" i="52"/>
  <c r="F10" i="52"/>
  <c r="G9" i="52"/>
  <c r="E26" i="52"/>
  <c r="A10" i="52"/>
  <c r="D10" i="52"/>
  <c r="E25" i="51"/>
  <c r="D10" i="51"/>
  <c r="G23" i="51"/>
  <c r="F24" i="51"/>
  <c r="A24" i="51"/>
  <c r="A11" i="51"/>
  <c r="G10" i="51"/>
  <c r="F11" i="51"/>
  <c r="A24" i="50"/>
  <c r="E25" i="50"/>
  <c r="A10" i="50"/>
  <c r="D11" i="50"/>
  <c r="F25" i="50"/>
  <c r="G24" i="50"/>
  <c r="L29" i="74" l="1"/>
  <c r="L29" i="72"/>
  <c r="A52" i="45"/>
  <c r="I18" i="70"/>
  <c r="I19" i="70" s="1"/>
  <c r="K17" i="70"/>
  <c r="Q37" i="67"/>
  <c r="R37" i="67" s="1"/>
  <c r="P37" i="67"/>
  <c r="AB21" i="67"/>
  <c r="L29" i="39"/>
  <c r="L10" i="67"/>
  <c r="M10" i="67"/>
  <c r="N10" i="67" s="1"/>
  <c r="L6" i="67"/>
  <c r="M6" i="67"/>
  <c r="N6" i="67" s="1"/>
  <c r="M4" i="67"/>
  <c r="N4" i="67" s="1"/>
  <c r="L4" i="67"/>
  <c r="M31" i="67"/>
  <c r="N31" i="67" s="1"/>
  <c r="L31" i="67"/>
  <c r="L22" i="67"/>
  <c r="M22" i="67"/>
  <c r="N22" i="67" s="1"/>
  <c r="L21" i="67"/>
  <c r="M21" i="67"/>
  <c r="N21" i="67" s="1"/>
  <c r="M33" i="67"/>
  <c r="N33" i="67" s="1"/>
  <c r="L33" i="67"/>
  <c r="M9" i="67"/>
  <c r="N9" i="67" s="1"/>
  <c r="L9" i="67"/>
  <c r="M5" i="67"/>
  <c r="N5" i="67" s="1"/>
  <c r="L5" i="67"/>
  <c r="M17" i="67"/>
  <c r="N17" i="67" s="1"/>
  <c r="L17" i="67"/>
  <c r="L26" i="67"/>
  <c r="M26" i="67"/>
  <c r="N26" i="67" s="1"/>
  <c r="L24" i="67"/>
  <c r="M24" i="67"/>
  <c r="N24" i="67" s="1"/>
  <c r="L28" i="67"/>
  <c r="M28" i="67"/>
  <c r="N28" i="67" s="1"/>
  <c r="M12" i="67"/>
  <c r="N12" i="67" s="1"/>
  <c r="L12" i="67"/>
  <c r="L8" i="67"/>
  <c r="M8" i="67"/>
  <c r="N8" i="67" s="1"/>
  <c r="M20" i="67"/>
  <c r="N20" i="67" s="1"/>
  <c r="L20" i="67"/>
  <c r="M25" i="67"/>
  <c r="N25" i="67" s="1"/>
  <c r="L25" i="67"/>
  <c r="M35" i="67"/>
  <c r="N35" i="67" s="1"/>
  <c r="L35" i="67"/>
  <c r="M27" i="67"/>
  <c r="N27" i="67" s="1"/>
  <c r="L27" i="67"/>
  <c r="L30" i="67"/>
  <c r="M30" i="67"/>
  <c r="N30" i="67" s="1"/>
  <c r="L32" i="67"/>
  <c r="M32" i="67"/>
  <c r="N32" i="67" s="1"/>
  <c r="M11" i="67"/>
  <c r="N11" i="67" s="1"/>
  <c r="L11" i="67"/>
  <c r="M7" i="67"/>
  <c r="N7" i="67" s="1"/>
  <c r="L7" i="67"/>
  <c r="M3" i="67"/>
  <c r="N3" i="67" s="1"/>
  <c r="L3" i="67"/>
  <c r="M23" i="67"/>
  <c r="N23" i="67" s="1"/>
  <c r="L23" i="67"/>
  <c r="L19" i="67"/>
  <c r="M19" i="67"/>
  <c r="N19" i="67" s="1"/>
  <c r="L18" i="67"/>
  <c r="M18" i="67"/>
  <c r="N18" i="67" s="1"/>
  <c r="M29" i="67"/>
  <c r="N29" i="67" s="1"/>
  <c r="L29" i="67"/>
  <c r="L34" i="67"/>
  <c r="M34" i="67"/>
  <c r="N34" i="67" s="1"/>
  <c r="L36" i="67"/>
  <c r="M36" i="67"/>
  <c r="N36" i="67" s="1"/>
  <c r="A11" i="52"/>
  <c r="G10" i="52"/>
  <c r="F11" i="52"/>
  <c r="G23" i="52"/>
  <c r="F24" i="52"/>
  <c r="E27" i="52"/>
  <c r="A25" i="52"/>
  <c r="D11" i="52"/>
  <c r="A12" i="51"/>
  <c r="F25" i="51"/>
  <c r="G24" i="51"/>
  <c r="D11" i="51"/>
  <c r="G11" i="51"/>
  <c r="F12" i="51"/>
  <c r="G12" i="51" s="1"/>
  <c r="A25" i="51"/>
  <c r="E26" i="51"/>
  <c r="A25" i="50"/>
  <c r="F26" i="50"/>
  <c r="G25" i="50"/>
  <c r="A11" i="50"/>
  <c r="D12" i="50"/>
  <c r="E26" i="50"/>
  <c r="M29" i="72" l="1"/>
  <c r="O29" i="72"/>
  <c r="M29" i="74"/>
  <c r="O29" i="74"/>
  <c r="A53" i="45"/>
  <c r="I20" i="70"/>
  <c r="K19" i="70"/>
  <c r="K18" i="70"/>
  <c r="M29" i="39"/>
  <c r="O29" i="39"/>
  <c r="Q34" i="67"/>
  <c r="R34" i="67" s="1"/>
  <c r="P34" i="67"/>
  <c r="Q18" i="67"/>
  <c r="R18" i="67" s="1"/>
  <c r="P18" i="67"/>
  <c r="Q28" i="67"/>
  <c r="R28" i="67" s="1"/>
  <c r="P28" i="67"/>
  <c r="Q24" i="67"/>
  <c r="R24" i="67" s="1"/>
  <c r="P24" i="67"/>
  <c r="P31" i="67"/>
  <c r="Q31" i="67"/>
  <c r="R31" i="67" s="1"/>
  <c r="Q21" i="67"/>
  <c r="R21" i="67" s="1"/>
  <c r="P21" i="67"/>
  <c r="Q30" i="67"/>
  <c r="R30" i="67" s="1"/>
  <c r="P30" i="67"/>
  <c r="Q17" i="67"/>
  <c r="R17" i="67" s="1"/>
  <c r="P17" i="67"/>
  <c r="Q22" i="67"/>
  <c r="R22" i="67" s="1"/>
  <c r="P22" i="67"/>
  <c r="P35" i="67"/>
  <c r="Q35" i="67"/>
  <c r="R35" i="67" s="1"/>
  <c r="Q26" i="67"/>
  <c r="R26" i="67" s="1"/>
  <c r="P26" i="67"/>
  <c r="P33" i="67"/>
  <c r="Q33" i="67"/>
  <c r="R33" i="67" s="1"/>
  <c r="Q36" i="67"/>
  <c r="R36" i="67" s="1"/>
  <c r="P36" i="67"/>
  <c r="P7" i="67"/>
  <c r="Q7" i="67"/>
  <c r="R7" i="67" s="1"/>
  <c r="Q32" i="67"/>
  <c r="R32" i="67" s="1"/>
  <c r="P32" i="67"/>
  <c r="P25" i="67"/>
  <c r="Q25" i="67"/>
  <c r="R25" i="67" s="1"/>
  <c r="Q8" i="67"/>
  <c r="R8" i="67" s="1"/>
  <c r="P8" i="67"/>
  <c r="Q5" i="67"/>
  <c r="R5" i="67" s="1"/>
  <c r="P5" i="67"/>
  <c r="Q6" i="67"/>
  <c r="R6" i="67" s="1"/>
  <c r="P6" i="67"/>
  <c r="P29" i="67"/>
  <c r="Q29" i="67"/>
  <c r="R29" i="67" s="1"/>
  <c r="Q19" i="67"/>
  <c r="R19" i="67" s="1"/>
  <c r="P19" i="67"/>
  <c r="P23" i="67"/>
  <c r="Q23" i="67"/>
  <c r="R23" i="67" s="1"/>
  <c r="P3" i="67"/>
  <c r="Q3" i="67"/>
  <c r="R3" i="67" s="1"/>
  <c r="P11" i="67"/>
  <c r="Q11" i="67"/>
  <c r="R11" i="67" s="1"/>
  <c r="P27" i="67"/>
  <c r="Q27" i="67"/>
  <c r="R27" i="67" s="1"/>
  <c r="P20" i="67"/>
  <c r="Q20" i="67"/>
  <c r="R20" i="67" s="1"/>
  <c r="P9" i="67"/>
  <c r="Q9" i="67"/>
  <c r="R9" i="67" s="1"/>
  <c r="Q10" i="67"/>
  <c r="R10" i="67" s="1"/>
  <c r="P10" i="67"/>
  <c r="P12" i="67"/>
  <c r="Q12" i="67"/>
  <c r="R12" i="67" s="1"/>
  <c r="P4" i="67"/>
  <c r="Q4" i="67"/>
  <c r="R4" i="67" s="1"/>
  <c r="F12" i="52"/>
  <c r="G12" i="52" s="1"/>
  <c r="G11" i="52"/>
  <c r="D12" i="52"/>
  <c r="E28" i="52"/>
  <c r="F25" i="52"/>
  <c r="G24" i="52"/>
  <c r="A12" i="52"/>
  <c r="A26" i="52"/>
  <c r="A26" i="51"/>
  <c r="D12" i="51"/>
  <c r="G25" i="51"/>
  <c r="F26" i="51"/>
  <c r="E27" i="51"/>
  <c r="D17" i="50"/>
  <c r="F27" i="50"/>
  <c r="G26" i="50"/>
  <c r="A26" i="50"/>
  <c r="E27" i="50"/>
  <c r="A12" i="50"/>
  <c r="N29" i="74" l="1"/>
  <c r="N32" i="74" s="1"/>
  <c r="N29" i="72"/>
  <c r="N32" i="72" s="1"/>
  <c r="A54" i="45"/>
  <c r="I21" i="70"/>
  <c r="K20" i="70"/>
  <c r="N29" i="39"/>
  <c r="N32" i="39" s="1"/>
  <c r="T37" i="67"/>
  <c r="S37" i="67"/>
  <c r="U37" i="67" s="1"/>
  <c r="V37" i="67" s="1"/>
  <c r="W37" i="67" s="1"/>
  <c r="X37" i="67" s="1"/>
  <c r="S34" i="67"/>
  <c r="T33" i="67"/>
  <c r="S30" i="67"/>
  <c r="T29" i="67"/>
  <c r="S36" i="67"/>
  <c r="T35" i="67"/>
  <c r="S32" i="67"/>
  <c r="T31" i="67"/>
  <c r="S28" i="67"/>
  <c r="T27" i="67"/>
  <c r="S35" i="67"/>
  <c r="T34" i="67"/>
  <c r="S31" i="67"/>
  <c r="T30" i="67"/>
  <c r="S27" i="67"/>
  <c r="S33" i="67"/>
  <c r="S26" i="67"/>
  <c r="T25" i="67"/>
  <c r="S22" i="67"/>
  <c r="S19" i="67"/>
  <c r="T32" i="67"/>
  <c r="S24" i="67"/>
  <c r="T23" i="67"/>
  <c r="S21" i="67"/>
  <c r="T20" i="67"/>
  <c r="S18" i="67"/>
  <c r="S17" i="67"/>
  <c r="T12" i="67"/>
  <c r="S23" i="67"/>
  <c r="T22" i="67"/>
  <c r="T17" i="67"/>
  <c r="S12" i="67"/>
  <c r="T11" i="67"/>
  <c r="S8" i="67"/>
  <c r="T7" i="67"/>
  <c r="T36" i="67"/>
  <c r="T24" i="67"/>
  <c r="T21" i="67"/>
  <c r="S11" i="67"/>
  <c r="S29" i="67"/>
  <c r="T26" i="67"/>
  <c r="T18" i="67"/>
  <c r="T9" i="67"/>
  <c r="T6" i="67"/>
  <c r="T4" i="67"/>
  <c r="S20" i="67"/>
  <c r="T5" i="67"/>
  <c r="T28" i="67"/>
  <c r="S25" i="67"/>
  <c r="T19" i="67"/>
  <c r="T8" i="67"/>
  <c r="S6" i="67"/>
  <c r="T10" i="67"/>
  <c r="S5" i="67"/>
  <c r="S3" i="67"/>
  <c r="S10" i="67"/>
  <c r="S9" i="67"/>
  <c r="S7" i="67"/>
  <c r="S4" i="67"/>
  <c r="T3" i="67"/>
  <c r="A27" i="52"/>
  <c r="G25" i="52"/>
  <c r="F26" i="52"/>
  <c r="D17" i="52"/>
  <c r="E29" i="52"/>
  <c r="G26" i="51"/>
  <c r="F27" i="51"/>
  <c r="A27" i="51"/>
  <c r="E28" i="51"/>
  <c r="D17" i="51"/>
  <c r="E28" i="50"/>
  <c r="F28" i="50"/>
  <c r="G27" i="50"/>
  <c r="D18" i="50"/>
  <c r="A27" i="50"/>
  <c r="A55" i="45" l="1"/>
  <c r="I22" i="70"/>
  <c r="K21" i="70"/>
  <c r="Y37" i="67"/>
  <c r="Z37" i="67"/>
  <c r="AA37" i="67"/>
  <c r="U7" i="67"/>
  <c r="V7" i="67" s="1"/>
  <c r="W7" i="67" s="1"/>
  <c r="X7" i="67" s="1"/>
  <c r="Z7" i="67" s="1"/>
  <c r="U5" i="67"/>
  <c r="V5" i="67" s="1"/>
  <c r="W5" i="67" s="1"/>
  <c r="X5" i="67" s="1"/>
  <c r="Y5" i="67" s="1"/>
  <c r="U12" i="67"/>
  <c r="V12" i="67" s="1"/>
  <c r="W12" i="67" s="1"/>
  <c r="X12" i="67" s="1"/>
  <c r="Z12" i="67" s="1"/>
  <c r="U25" i="67"/>
  <c r="V25" i="67" s="1"/>
  <c r="W25" i="67" s="1"/>
  <c r="X25" i="67" s="1"/>
  <c r="AA25" i="67" s="1"/>
  <c r="U22" i="67"/>
  <c r="V22" i="67" s="1"/>
  <c r="W22" i="67" s="1"/>
  <c r="X22" i="67" s="1"/>
  <c r="Y22" i="67" s="1"/>
  <c r="U27" i="67"/>
  <c r="V27" i="67" s="1"/>
  <c r="W27" i="67" s="1"/>
  <c r="X27" i="67" s="1"/>
  <c r="Z27" i="67" s="1"/>
  <c r="U35" i="67"/>
  <c r="V35" i="67" s="1"/>
  <c r="W35" i="67" s="1"/>
  <c r="X35" i="67" s="1"/>
  <c r="Y35" i="67" s="1"/>
  <c r="U20" i="67"/>
  <c r="V20" i="67" s="1"/>
  <c r="W20" i="67" s="1"/>
  <c r="X20" i="67" s="1"/>
  <c r="Z20" i="67" s="1"/>
  <c r="U11" i="67"/>
  <c r="V11" i="67" s="1"/>
  <c r="W11" i="67" s="1"/>
  <c r="X11" i="67" s="1"/>
  <c r="Z11" i="67" s="1"/>
  <c r="U4" i="67"/>
  <c r="V4" i="67" s="1"/>
  <c r="W4" i="67" s="1"/>
  <c r="X4" i="67" s="1"/>
  <c r="Y4" i="67" s="1"/>
  <c r="U3" i="67"/>
  <c r="V3" i="67" s="1"/>
  <c r="W3" i="67" s="1"/>
  <c r="X3" i="67" s="1"/>
  <c r="AA3" i="67" s="1"/>
  <c r="U29" i="67"/>
  <c r="V29" i="67" s="1"/>
  <c r="W29" i="67" s="1"/>
  <c r="X29" i="67" s="1"/>
  <c r="Z29" i="67" s="1"/>
  <c r="U28" i="67"/>
  <c r="V28" i="67" s="1"/>
  <c r="W28" i="67" s="1"/>
  <c r="X28" i="67" s="1"/>
  <c r="Y28" i="67" s="1"/>
  <c r="U36" i="67"/>
  <c r="V36" i="67" s="1"/>
  <c r="W36" i="67" s="1"/>
  <c r="X36" i="67" s="1"/>
  <c r="Y36" i="67" s="1"/>
  <c r="U24" i="67"/>
  <c r="V24" i="67" s="1"/>
  <c r="W24" i="67" s="1"/>
  <c r="X24" i="67" s="1"/>
  <c r="Z24" i="67" s="1"/>
  <c r="U17" i="67"/>
  <c r="V17" i="67" s="1"/>
  <c r="W17" i="67" s="1"/>
  <c r="X17" i="67" s="1"/>
  <c r="U9" i="67"/>
  <c r="V9" i="67" s="1"/>
  <c r="W9" i="67" s="1"/>
  <c r="X9" i="67" s="1"/>
  <c r="U8" i="67"/>
  <c r="V8" i="67" s="1"/>
  <c r="W8" i="67" s="1"/>
  <c r="X8" i="67" s="1"/>
  <c r="U18" i="67"/>
  <c r="V18" i="67" s="1"/>
  <c r="W18" i="67" s="1"/>
  <c r="X18" i="67" s="1"/>
  <c r="U34" i="67"/>
  <c r="V34" i="67" s="1"/>
  <c r="W34" i="67" s="1"/>
  <c r="X34" i="67" s="1"/>
  <c r="Y7" i="67"/>
  <c r="U10" i="67"/>
  <c r="V10" i="67" s="1"/>
  <c r="W10" i="67" s="1"/>
  <c r="X10" i="67" s="1"/>
  <c r="U6" i="67"/>
  <c r="V6" i="67" s="1"/>
  <c r="W6" i="67" s="1"/>
  <c r="X6" i="67" s="1"/>
  <c r="U23" i="67"/>
  <c r="V23" i="67" s="1"/>
  <c r="W23" i="67" s="1"/>
  <c r="X23" i="67" s="1"/>
  <c r="U26" i="67"/>
  <c r="V26" i="67" s="1"/>
  <c r="W26" i="67" s="1"/>
  <c r="X26" i="67" s="1"/>
  <c r="U31" i="67"/>
  <c r="V31" i="67" s="1"/>
  <c r="W31" i="67" s="1"/>
  <c r="X31" i="67" s="1"/>
  <c r="U32" i="67"/>
  <c r="V32" i="67" s="1"/>
  <c r="W32" i="67" s="1"/>
  <c r="X32" i="67" s="1"/>
  <c r="U21" i="67"/>
  <c r="V21" i="67" s="1"/>
  <c r="W21" i="67" s="1"/>
  <c r="X21" i="67" s="1"/>
  <c r="U19" i="67"/>
  <c r="V19" i="67" s="1"/>
  <c r="W19" i="67" s="1"/>
  <c r="X19" i="67" s="1"/>
  <c r="U33" i="67"/>
  <c r="V33" i="67" s="1"/>
  <c r="W33" i="67" s="1"/>
  <c r="X33" i="67" s="1"/>
  <c r="U30" i="67"/>
  <c r="V30" i="67" s="1"/>
  <c r="W30" i="67" s="1"/>
  <c r="X30" i="67" s="1"/>
  <c r="E30" i="52"/>
  <c r="G26" i="52"/>
  <c r="F27" i="52"/>
  <c r="D18" i="52"/>
  <c r="A28" i="52"/>
  <c r="F28" i="51"/>
  <c r="G27" i="51"/>
  <c r="E29" i="51"/>
  <c r="D18" i="51"/>
  <c r="A28" i="51"/>
  <c r="F29" i="50"/>
  <c r="G28" i="50"/>
  <c r="D19" i="50"/>
  <c r="A28" i="50"/>
  <c r="E29" i="50"/>
  <c r="AC14" i="39"/>
  <c r="AC7" i="39"/>
  <c r="AC10" i="39" s="1"/>
  <c r="A56" i="45" l="1"/>
  <c r="I23" i="70"/>
  <c r="K22" i="70"/>
  <c r="AA7" i="67"/>
  <c r="AA5" i="67"/>
  <c r="Z4" i="67"/>
  <c r="AA4" i="67"/>
  <c r="Z36" i="67"/>
  <c r="AA27" i="67"/>
  <c r="Z5" i="67"/>
  <c r="Y12" i="67"/>
  <c r="AA12" i="67"/>
  <c r="Y25" i="67"/>
  <c r="AA20" i="67"/>
  <c r="Z25" i="67"/>
  <c r="Y27" i="67"/>
  <c r="AA36" i="67"/>
  <c r="Z35" i="67"/>
  <c r="AA22" i="67"/>
  <c r="Y24" i="67"/>
  <c r="Y3" i="67"/>
  <c r="Z3" i="67"/>
  <c r="AA35" i="67"/>
  <c r="Z22" i="67"/>
  <c r="AA29" i="67"/>
  <c r="Y20" i="67"/>
  <c r="Y11" i="67"/>
  <c r="AA11" i="67"/>
  <c r="Z28" i="67"/>
  <c r="AA28" i="67"/>
  <c r="Y29" i="67"/>
  <c r="AA24" i="67"/>
  <c r="Y32" i="67"/>
  <c r="Z32" i="67"/>
  <c r="AA32" i="67"/>
  <c r="Y30" i="67"/>
  <c r="Z30" i="67"/>
  <c r="AA30" i="67"/>
  <c r="Y6" i="67"/>
  <c r="Z6" i="67"/>
  <c r="AA6" i="67"/>
  <c r="Y18" i="67"/>
  <c r="Z18" i="67"/>
  <c r="AA18" i="67"/>
  <c r="Y17" i="67"/>
  <c r="Z17" i="67"/>
  <c r="AA17" i="67"/>
  <c r="Z33" i="67"/>
  <c r="Y33" i="67"/>
  <c r="AA33" i="67"/>
  <c r="Z31" i="67"/>
  <c r="Y31" i="67"/>
  <c r="AA31" i="67"/>
  <c r="Y10" i="67"/>
  <c r="Z10" i="67"/>
  <c r="AA10" i="67"/>
  <c r="Z8" i="67"/>
  <c r="Y8" i="67"/>
  <c r="AA8" i="67"/>
  <c r="Z9" i="67"/>
  <c r="Y9" i="67"/>
  <c r="AA9" i="67"/>
  <c r="Y19" i="67"/>
  <c r="Z19" i="67"/>
  <c r="AA19" i="67"/>
  <c r="Z26" i="67"/>
  <c r="Y26" i="67"/>
  <c r="AA26" i="67"/>
  <c r="Y21" i="67"/>
  <c r="Z21" i="67"/>
  <c r="AA21" i="67"/>
  <c r="Z23" i="67"/>
  <c r="Y23" i="67"/>
  <c r="AA23" i="67"/>
  <c r="Y34" i="67"/>
  <c r="Z34" i="67"/>
  <c r="AA34" i="67"/>
  <c r="A29" i="52"/>
  <c r="F28" i="52"/>
  <c r="G27" i="52"/>
  <c r="E31" i="52"/>
  <c r="D19" i="52"/>
  <c r="E30" i="51"/>
  <c r="D19" i="51"/>
  <c r="F29" i="51"/>
  <c r="G28" i="51"/>
  <c r="A29" i="51"/>
  <c r="D20" i="50"/>
  <c r="A29" i="50"/>
  <c r="E30" i="50"/>
  <c r="G29" i="50"/>
  <c r="F30" i="50"/>
  <c r="AC8" i="39"/>
  <c r="A57" i="45" l="1"/>
  <c r="I24" i="70"/>
  <c r="K23" i="70"/>
  <c r="Y60" i="67"/>
  <c r="Y61" i="67" s="1"/>
  <c r="AA60" i="67"/>
  <c r="AA61" i="67" s="1"/>
  <c r="Z60" i="67"/>
  <c r="Z61" i="67" s="1"/>
  <c r="A30" i="52"/>
  <c r="F29" i="52"/>
  <c r="G28" i="52"/>
  <c r="E32" i="52"/>
  <c r="E33" i="52" s="1"/>
  <c r="D20" i="52"/>
  <c r="D20" i="51"/>
  <c r="G29" i="51"/>
  <c r="F30" i="51"/>
  <c r="E31" i="51"/>
  <c r="A30" i="51"/>
  <c r="E31" i="50"/>
  <c r="F31" i="50"/>
  <c r="G30" i="50"/>
  <c r="D21" i="50"/>
  <c r="A30" i="50"/>
  <c r="F17" i="47"/>
  <c r="F18" i="47" s="1"/>
  <c r="G18" i="47" s="1"/>
  <c r="E17" i="47"/>
  <c r="E18" i="47" s="1"/>
  <c r="E19" i="47" s="1"/>
  <c r="B17" i="47"/>
  <c r="B18" i="47" s="1"/>
  <c r="B19" i="47" s="1"/>
  <c r="B20" i="47" s="1"/>
  <c r="B21" i="47" s="1"/>
  <c r="B22" i="47" s="1"/>
  <c r="B23" i="47" s="1"/>
  <c r="B24" i="47" s="1"/>
  <c r="B25" i="47" s="1"/>
  <c r="B26" i="47" s="1"/>
  <c r="B27" i="47" s="1"/>
  <c r="B28" i="47" s="1"/>
  <c r="B29" i="47" s="1"/>
  <c r="B30" i="47" s="1"/>
  <c r="B31" i="47" s="1"/>
  <c r="B32" i="47" s="1"/>
  <c r="B33" i="47" s="1"/>
  <c r="B34" i="47" s="1"/>
  <c r="B35" i="47" s="1"/>
  <c r="B36" i="47" s="1"/>
  <c r="B37" i="47" s="1"/>
  <c r="B38" i="47" s="1"/>
  <c r="A17" i="47"/>
  <c r="A18" i="47" s="1"/>
  <c r="F4" i="47"/>
  <c r="E4" i="47"/>
  <c r="E5" i="47" s="1"/>
  <c r="E6" i="47" s="1"/>
  <c r="E7" i="47" s="1"/>
  <c r="E8" i="47" s="1"/>
  <c r="E9" i="47" s="1"/>
  <c r="E10" i="47" s="1"/>
  <c r="E11" i="47" s="1"/>
  <c r="E12" i="47" s="1"/>
  <c r="D4" i="47"/>
  <c r="D5" i="47" s="1"/>
  <c r="B4" i="47"/>
  <c r="B5" i="47" s="1"/>
  <c r="B6" i="47" s="1"/>
  <c r="B7" i="47" s="1"/>
  <c r="B8" i="47" s="1"/>
  <c r="B9" i="47" s="1"/>
  <c r="B10" i="47" s="1"/>
  <c r="B11" i="47" s="1"/>
  <c r="B12" i="47" s="1"/>
  <c r="A4" i="47"/>
  <c r="G3" i="47"/>
  <c r="E9" i="39"/>
  <c r="F17" i="46"/>
  <c r="G17" i="46" s="1"/>
  <c r="E17" i="46"/>
  <c r="E18" i="46" s="1"/>
  <c r="A17" i="46"/>
  <c r="A18" i="46" s="1"/>
  <c r="F4" i="46"/>
  <c r="G4" i="46" s="1"/>
  <c r="E4" i="46"/>
  <c r="E5" i="46" s="1"/>
  <c r="E6" i="46" s="1"/>
  <c r="E7" i="46" s="1"/>
  <c r="E8" i="46" s="1"/>
  <c r="E9" i="46" s="1"/>
  <c r="E10" i="46" s="1"/>
  <c r="E11" i="46" s="1"/>
  <c r="E12" i="46" s="1"/>
  <c r="D4" i="46"/>
  <c r="D5" i="46" s="1"/>
  <c r="D6" i="46" s="1"/>
  <c r="D7" i="46" s="1"/>
  <c r="A4" i="46"/>
  <c r="G3" i="46"/>
  <c r="S14" i="39"/>
  <c r="S7" i="39"/>
  <c r="S10" i="39" s="1"/>
  <c r="N14" i="39"/>
  <c r="N7" i="39"/>
  <c r="N10" i="39" s="1"/>
  <c r="I14" i="39"/>
  <c r="I7" i="39"/>
  <c r="I8" i="39" s="1"/>
  <c r="D7" i="39"/>
  <c r="D10" i="39" s="1"/>
  <c r="F17" i="44"/>
  <c r="F18" i="44" s="1"/>
  <c r="F19" i="44" s="1"/>
  <c r="E17" i="44"/>
  <c r="E18" i="44" s="1"/>
  <c r="B17" i="44"/>
  <c r="B18" i="44" s="1"/>
  <c r="B19" i="44" s="1"/>
  <c r="B20" i="44" s="1"/>
  <c r="B21" i="44" s="1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A17" i="44"/>
  <c r="A18" i="44" s="1"/>
  <c r="F4" i="44"/>
  <c r="F5" i="44" s="1"/>
  <c r="F6" i="44" s="1"/>
  <c r="E4" i="44"/>
  <c r="E5" i="44" s="1"/>
  <c r="E6" i="44" s="1"/>
  <c r="E7" i="44" s="1"/>
  <c r="E8" i="44" s="1"/>
  <c r="E9" i="44" s="1"/>
  <c r="E10" i="44" s="1"/>
  <c r="E11" i="44" s="1"/>
  <c r="E12" i="44" s="1"/>
  <c r="D4" i="44"/>
  <c r="B4" i="44"/>
  <c r="B5" i="44" s="1"/>
  <c r="B6" i="44" s="1"/>
  <c r="B7" i="44" s="1"/>
  <c r="B8" i="44" s="1"/>
  <c r="B9" i="44" s="1"/>
  <c r="B10" i="44" s="1"/>
  <c r="B11" i="44" s="1"/>
  <c r="B12" i="44" s="1"/>
  <c r="A4" i="44"/>
  <c r="A5" i="44" s="1"/>
  <c r="A6" i="44" s="1"/>
  <c r="G3" i="44"/>
  <c r="F17" i="43"/>
  <c r="G17" i="43" s="1"/>
  <c r="E17" i="43"/>
  <c r="E18" i="43" s="1"/>
  <c r="B17" i="43"/>
  <c r="B18" i="43" s="1"/>
  <c r="B19" i="43" s="1"/>
  <c r="B20" i="43" s="1"/>
  <c r="A17" i="43"/>
  <c r="F4" i="43"/>
  <c r="F5" i="43" s="1"/>
  <c r="E4" i="43"/>
  <c r="E5" i="43" s="1"/>
  <c r="E6" i="43" s="1"/>
  <c r="E7" i="43" s="1"/>
  <c r="E8" i="43" s="1"/>
  <c r="E9" i="43" s="1"/>
  <c r="E10" i="43" s="1"/>
  <c r="E11" i="43" s="1"/>
  <c r="E12" i="43" s="1"/>
  <c r="D4" i="43"/>
  <c r="D5" i="43" s="1"/>
  <c r="D6" i="43" s="1"/>
  <c r="B5" i="43"/>
  <c r="B6" i="43" s="1"/>
  <c r="B7" i="43" s="1"/>
  <c r="B8" i="43" s="1"/>
  <c r="B9" i="43" s="1"/>
  <c r="B10" i="43" s="1"/>
  <c r="B11" i="43" s="1"/>
  <c r="B12" i="43" s="1"/>
  <c r="A4" i="43"/>
  <c r="A5" i="43" s="1"/>
  <c r="G3" i="43"/>
  <c r="A58" i="45" l="1"/>
  <c r="K24" i="70"/>
  <c r="I25" i="70"/>
  <c r="N22" i="39"/>
  <c r="N23" i="39" s="1"/>
  <c r="N35" i="39" s="1"/>
  <c r="N36" i="39" s="1"/>
  <c r="N22" i="75"/>
  <c r="N23" i="75" s="1"/>
  <c r="N35" i="75" s="1"/>
  <c r="N36" i="75" s="1"/>
  <c r="N22" i="74"/>
  <c r="N23" i="74" s="1"/>
  <c r="N35" i="74" s="1"/>
  <c r="N36" i="74" s="1"/>
  <c r="N22" i="72"/>
  <c r="N23" i="72" s="1"/>
  <c r="N35" i="72" s="1"/>
  <c r="N36" i="72" s="1"/>
  <c r="D8" i="39"/>
  <c r="AB61" i="67"/>
  <c r="B21" i="43"/>
  <c r="B22" i="43" s="1"/>
  <c r="B23" i="43" s="1"/>
  <c r="B24" i="43" s="1"/>
  <c r="B25" i="43" s="1"/>
  <c r="B26" i="43" s="1"/>
  <c r="B27" i="43" s="1"/>
  <c r="B28" i="43" s="1"/>
  <c r="B29" i="43" s="1"/>
  <c r="B30" i="43" s="1"/>
  <c r="E34" i="52"/>
  <c r="D21" i="52"/>
  <c r="F30" i="52"/>
  <c r="G29" i="52"/>
  <c r="A31" i="52"/>
  <c r="F31" i="51"/>
  <c r="G30" i="51"/>
  <c r="A31" i="51"/>
  <c r="D21" i="51"/>
  <c r="E32" i="51"/>
  <c r="A31" i="50"/>
  <c r="F32" i="50"/>
  <c r="G31" i="50"/>
  <c r="E32" i="50"/>
  <c r="D22" i="50"/>
  <c r="X7" i="39"/>
  <c r="X14" i="39"/>
  <c r="G17" i="47"/>
  <c r="G4" i="47"/>
  <c r="F5" i="47"/>
  <c r="A5" i="47"/>
  <c r="D6" i="47"/>
  <c r="B39" i="47"/>
  <c r="B40" i="47" s="1"/>
  <c r="B41" i="47" s="1"/>
  <c r="B42" i="47" s="1"/>
  <c r="B43" i="47" s="1"/>
  <c r="B44" i="47" s="1"/>
  <c r="B45" i="47" s="1"/>
  <c r="E20" i="47"/>
  <c r="F19" i="47"/>
  <c r="A19" i="47"/>
  <c r="S8" i="39"/>
  <c r="F18" i="46"/>
  <c r="G18" i="46" s="1"/>
  <c r="A19" i="46"/>
  <c r="D8" i="46"/>
  <c r="E19" i="46"/>
  <c r="F5" i="46"/>
  <c r="A5" i="46"/>
  <c r="G4" i="44"/>
  <c r="G17" i="44"/>
  <c r="N8" i="39"/>
  <c r="I10" i="39"/>
  <c r="C9" i="39"/>
  <c r="D9" i="39" s="1"/>
  <c r="D12" i="39" s="1"/>
  <c r="D14" i="39"/>
  <c r="F7" i="44"/>
  <c r="G6" i="44"/>
  <c r="A7" i="44"/>
  <c r="A19" i="44"/>
  <c r="D5" i="44"/>
  <c r="G18" i="44"/>
  <c r="G19" i="44"/>
  <c r="F20" i="44"/>
  <c r="G5" i="44"/>
  <c r="E19" i="44"/>
  <c r="F18" i="43"/>
  <c r="F19" i="43" s="1"/>
  <c r="A6" i="43"/>
  <c r="G5" i="43"/>
  <c r="F6" i="43"/>
  <c r="D7" i="43"/>
  <c r="G4" i="43"/>
  <c r="E19" i="43"/>
  <c r="A18" i="43"/>
  <c r="F17" i="40"/>
  <c r="E17" i="40"/>
  <c r="E18" i="40" s="1"/>
  <c r="B17" i="40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A17" i="40"/>
  <c r="F4" i="40"/>
  <c r="F5" i="40" s="1"/>
  <c r="G5" i="40" s="1"/>
  <c r="E4" i="40"/>
  <c r="E5" i="40" s="1"/>
  <c r="E6" i="40" s="1"/>
  <c r="E7" i="40" s="1"/>
  <c r="E8" i="40" s="1"/>
  <c r="E9" i="40" s="1"/>
  <c r="E10" i="40" s="1"/>
  <c r="E11" i="40" s="1"/>
  <c r="D4" i="40"/>
  <c r="B4" i="40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A4" i="40"/>
  <c r="G3" i="40"/>
  <c r="A59" i="45" l="1"/>
  <c r="K25" i="70"/>
  <c r="I26" i="70"/>
  <c r="X10" i="39"/>
  <c r="X8" i="39"/>
  <c r="E35" i="52"/>
  <c r="E36" i="52" s="1"/>
  <c r="D22" i="52"/>
  <c r="G30" i="52"/>
  <c r="F31" i="52"/>
  <c r="A32" i="52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E33" i="51"/>
  <c r="A32" i="51"/>
  <c r="D22" i="51"/>
  <c r="F32" i="51"/>
  <c r="G31" i="51"/>
  <c r="D23" i="50"/>
  <c r="G32" i="50"/>
  <c r="F33" i="50"/>
  <c r="E33" i="50"/>
  <c r="A32" i="50"/>
  <c r="B46" i="47"/>
  <c r="B47" i="47" s="1"/>
  <c r="B48" i="47" s="1"/>
  <c r="F20" i="47"/>
  <c r="G19" i="47"/>
  <c r="D7" i="47"/>
  <c r="A20" i="47"/>
  <c r="E21" i="47"/>
  <c r="F6" i="47"/>
  <c r="G5" i="47"/>
  <c r="A6" i="47"/>
  <c r="F19" i="46"/>
  <c r="F20" i="46" s="1"/>
  <c r="D9" i="46"/>
  <c r="A6" i="46"/>
  <c r="E20" i="46"/>
  <c r="A20" i="46"/>
  <c r="F6" i="46"/>
  <c r="G5" i="46"/>
  <c r="F21" i="44"/>
  <c r="G20" i="44"/>
  <c r="A20" i="44"/>
  <c r="F8" i="44"/>
  <c r="G7" i="44"/>
  <c r="E20" i="44"/>
  <c r="D6" i="44"/>
  <c r="A8" i="44"/>
  <c r="G18" i="43"/>
  <c r="E20" i="43"/>
  <c r="E21" i="43" s="1"/>
  <c r="A19" i="43"/>
  <c r="G6" i="43"/>
  <c r="F7" i="43"/>
  <c r="F20" i="43"/>
  <c r="F21" i="43" s="1"/>
  <c r="G21" i="43" s="1"/>
  <c r="G19" i="43"/>
  <c r="D8" i="43"/>
  <c r="A7" i="43"/>
  <c r="E12" i="40"/>
  <c r="E13" i="40" s="1"/>
  <c r="E14" i="40" s="1"/>
  <c r="F6" i="40"/>
  <c r="F7" i="40" s="1"/>
  <c r="F18" i="40"/>
  <c r="G17" i="40"/>
  <c r="A18" i="40"/>
  <c r="D5" i="40"/>
  <c r="A5" i="40"/>
  <c r="G4" i="40"/>
  <c r="E19" i="40"/>
  <c r="F17" i="38"/>
  <c r="G17" i="38" s="1"/>
  <c r="E17" i="38"/>
  <c r="A17" i="38"/>
  <c r="A18" i="38" s="1"/>
  <c r="F4" i="38"/>
  <c r="G4" i="38" s="1"/>
  <c r="E4" i="38"/>
  <c r="E5" i="38" s="1"/>
  <c r="D4" i="38"/>
  <c r="A4" i="38"/>
  <c r="A60" i="45" l="1"/>
  <c r="K26" i="70"/>
  <c r="I27" i="70"/>
  <c r="E37" i="52"/>
  <c r="F32" i="52"/>
  <c r="F33" i="52" s="1"/>
  <c r="G31" i="52"/>
  <c r="D23" i="52"/>
  <c r="D23" i="51"/>
  <c r="F33" i="51"/>
  <c r="G32" i="51"/>
  <c r="A33" i="51"/>
  <c r="E34" i="51"/>
  <c r="G33" i="50"/>
  <c r="F34" i="50"/>
  <c r="E34" i="50"/>
  <c r="A33" i="50"/>
  <c r="D24" i="50"/>
  <c r="B49" i="47"/>
  <c r="B50" i="47" s="1"/>
  <c r="B51" i="47" s="1"/>
  <c r="B52" i="47" s="1"/>
  <c r="A7" i="47"/>
  <c r="E22" i="47"/>
  <c r="F7" i="47"/>
  <c r="G6" i="47"/>
  <c r="A21" i="47"/>
  <c r="F21" i="47"/>
  <c r="G20" i="47"/>
  <c r="D8" i="47"/>
  <c r="G19" i="46"/>
  <c r="F7" i="46"/>
  <c r="G6" i="46"/>
  <c r="A7" i="46"/>
  <c r="A21" i="46"/>
  <c r="F21" i="46"/>
  <c r="G20" i="46"/>
  <c r="D10" i="46"/>
  <c r="E21" i="46"/>
  <c r="E21" i="44"/>
  <c r="D7" i="44"/>
  <c r="A9" i="44"/>
  <c r="F9" i="44"/>
  <c r="G8" i="44"/>
  <c r="F22" i="44"/>
  <c r="G21" i="44"/>
  <c r="A21" i="44"/>
  <c r="A8" i="43"/>
  <c r="G20" i="43"/>
  <c r="A20" i="43"/>
  <c r="A21" i="43" s="1"/>
  <c r="D9" i="43"/>
  <c r="F8" i="43"/>
  <c r="G7" i="43"/>
  <c r="G6" i="40"/>
  <c r="A6" i="40"/>
  <c r="A19" i="40"/>
  <c r="E20" i="40"/>
  <c r="D6" i="40"/>
  <c r="F8" i="40"/>
  <c r="G7" i="40"/>
  <c r="G18" i="40"/>
  <c r="F19" i="40"/>
  <c r="E6" i="38"/>
  <c r="F5" i="38"/>
  <c r="F18" i="38"/>
  <c r="D5" i="38"/>
  <c r="A19" i="38"/>
  <c r="A5" i="38"/>
  <c r="E18" i="38"/>
  <c r="A61" i="45" l="1"/>
  <c r="I28" i="70"/>
  <c r="K27" i="70"/>
  <c r="E38" i="52"/>
  <c r="G33" i="52"/>
  <c r="F34" i="52"/>
  <c r="D24" i="52"/>
  <c r="G32" i="52"/>
  <c r="E35" i="51"/>
  <c r="D24" i="51"/>
  <c r="A34" i="51"/>
  <c r="G33" i="51"/>
  <c r="F34" i="51"/>
  <c r="D25" i="50"/>
  <c r="A34" i="50"/>
  <c r="E35" i="50"/>
  <c r="F35" i="50"/>
  <c r="G34" i="50"/>
  <c r="B53" i="47"/>
  <c r="B54" i="47" s="1"/>
  <c r="B55" i="47" s="1"/>
  <c r="B56" i="47" s="1"/>
  <c r="B57" i="47" s="1"/>
  <c r="B58" i="47" s="1"/>
  <c r="B59" i="47" s="1"/>
  <c r="D9" i="47"/>
  <c r="A22" i="47"/>
  <c r="A8" i="47"/>
  <c r="G21" i="47"/>
  <c r="F22" i="47"/>
  <c r="F8" i="47"/>
  <c r="G7" i="47"/>
  <c r="E23" i="47"/>
  <c r="A8" i="46"/>
  <c r="A22" i="46"/>
  <c r="D11" i="46"/>
  <c r="F8" i="46"/>
  <c r="G7" i="46"/>
  <c r="G21" i="46"/>
  <c r="F22" i="46"/>
  <c r="E22" i="46"/>
  <c r="F23" i="44"/>
  <c r="G22" i="44"/>
  <c r="A10" i="44"/>
  <c r="E22" i="44"/>
  <c r="A22" i="44"/>
  <c r="F10" i="44"/>
  <c r="G9" i="44"/>
  <c r="D8" i="44"/>
  <c r="D10" i="43"/>
  <c r="E22" i="43"/>
  <c r="F22" i="43"/>
  <c r="F9" i="43"/>
  <c r="G8" i="43"/>
  <c r="A9" i="43"/>
  <c r="E21" i="40"/>
  <c r="E22" i="40" s="1"/>
  <c r="F9" i="40"/>
  <c r="G8" i="40"/>
  <c r="A7" i="40"/>
  <c r="F20" i="40"/>
  <c r="G19" i="40"/>
  <c r="A20" i="40"/>
  <c r="D7" i="40"/>
  <c r="G18" i="38"/>
  <c r="E7" i="38"/>
  <c r="F6" i="38"/>
  <c r="G6" i="38" s="1"/>
  <c r="F19" i="38"/>
  <c r="G19" i="38" s="1"/>
  <c r="G5" i="38"/>
  <c r="D6" i="38"/>
  <c r="E19" i="38"/>
  <c r="A6" i="38"/>
  <c r="A20" i="38"/>
  <c r="A62" i="45" l="1"/>
  <c r="I29" i="70"/>
  <c r="K28" i="70"/>
  <c r="E23" i="40"/>
  <c r="E39" i="52"/>
  <c r="G34" i="52"/>
  <c r="F35" i="52"/>
  <c r="D25" i="52"/>
  <c r="D25" i="51"/>
  <c r="A35" i="51"/>
  <c r="F35" i="51"/>
  <c r="G34" i="51"/>
  <c r="E36" i="51"/>
  <c r="G35" i="50"/>
  <c r="F36" i="50"/>
  <c r="A35" i="50"/>
  <c r="E36" i="50"/>
  <c r="D26" i="50"/>
  <c r="E24" i="47"/>
  <c r="F23" i="47"/>
  <c r="G22" i="47"/>
  <c r="A9" i="47"/>
  <c r="A23" i="47"/>
  <c r="F9" i="47"/>
  <c r="G8" i="47"/>
  <c r="D10" i="47"/>
  <c r="F9" i="46"/>
  <c r="G8" i="46"/>
  <c r="F23" i="46"/>
  <c r="G22" i="46"/>
  <c r="D12" i="46"/>
  <c r="D17" i="46" s="1"/>
  <c r="E23" i="46"/>
  <c r="A9" i="46"/>
  <c r="A23" i="46"/>
  <c r="D9" i="44"/>
  <c r="A23" i="44"/>
  <c r="A11" i="44"/>
  <c r="F11" i="44"/>
  <c r="G10" i="44"/>
  <c r="E23" i="44"/>
  <c r="F24" i="44"/>
  <c r="G23" i="44"/>
  <c r="A22" i="43"/>
  <c r="G9" i="43"/>
  <c r="F10" i="43"/>
  <c r="A10" i="43"/>
  <c r="E23" i="43"/>
  <c r="F23" i="43"/>
  <c r="G22" i="43"/>
  <c r="D11" i="43"/>
  <c r="D8" i="40"/>
  <c r="F21" i="40"/>
  <c r="F22" i="40" s="1"/>
  <c r="G20" i="40"/>
  <c r="G9" i="40"/>
  <c r="F10" i="40"/>
  <c r="A21" i="40"/>
  <c r="A22" i="40" s="1"/>
  <c r="A23" i="40" s="1"/>
  <c r="A24" i="40" s="1"/>
  <c r="A25" i="40" s="1"/>
  <c r="A26" i="40" s="1"/>
  <c r="A27" i="40" s="1"/>
  <c r="A28" i="40" s="1"/>
  <c r="A8" i="40"/>
  <c r="F7" i="38"/>
  <c r="F8" i="38" s="1"/>
  <c r="E8" i="38"/>
  <c r="F20" i="38"/>
  <c r="F21" i="38" s="1"/>
  <c r="D7" i="38"/>
  <c r="A21" i="38"/>
  <c r="E20" i="38"/>
  <c r="A7" i="38"/>
  <c r="A63" i="45" l="1"/>
  <c r="I30" i="70"/>
  <c r="K29" i="70"/>
  <c r="G22" i="40"/>
  <c r="F23" i="40"/>
  <c r="E24" i="40"/>
  <c r="G35" i="52"/>
  <c r="F36" i="52"/>
  <c r="E40" i="52"/>
  <c r="D26" i="52"/>
  <c r="E37" i="51"/>
  <c r="A36" i="51"/>
  <c r="F36" i="51"/>
  <c r="G35" i="51"/>
  <c r="D26" i="51"/>
  <c r="D27" i="50"/>
  <c r="A36" i="50"/>
  <c r="E37" i="50"/>
  <c r="G36" i="50"/>
  <c r="F37" i="50"/>
  <c r="D11" i="47"/>
  <c r="A24" i="47"/>
  <c r="F24" i="47"/>
  <c r="G23" i="47"/>
  <c r="F10" i="47"/>
  <c r="G9" i="47"/>
  <c r="A10" i="47"/>
  <c r="E25" i="47"/>
  <c r="A10" i="46"/>
  <c r="F24" i="46"/>
  <c r="G23" i="46"/>
  <c r="E24" i="46"/>
  <c r="F10" i="46"/>
  <c r="G9" i="46"/>
  <c r="D18" i="46"/>
  <c r="A24" i="46"/>
  <c r="A24" i="44"/>
  <c r="F25" i="44"/>
  <c r="G24" i="44"/>
  <c r="F12" i="44"/>
  <c r="G12" i="44" s="1"/>
  <c r="G11" i="44"/>
  <c r="E24" i="44"/>
  <c r="A12" i="44"/>
  <c r="D10" i="44"/>
  <c r="G23" i="43"/>
  <c r="F24" i="43"/>
  <c r="A11" i="43"/>
  <c r="D12" i="43"/>
  <c r="E24" i="43"/>
  <c r="A23" i="43"/>
  <c r="F11" i="43"/>
  <c r="G10" i="43"/>
  <c r="G21" i="40"/>
  <c r="F11" i="40"/>
  <c r="F12" i="40" s="1"/>
  <c r="F13" i="40" s="1"/>
  <c r="G10" i="40"/>
  <c r="D9" i="40"/>
  <c r="A9" i="40"/>
  <c r="G7" i="38"/>
  <c r="G20" i="38"/>
  <c r="E9" i="38"/>
  <c r="A8" i="38"/>
  <c r="G21" i="38"/>
  <c r="F22" i="38"/>
  <c r="F9" i="38"/>
  <c r="G8" i="38"/>
  <c r="A22" i="38"/>
  <c r="E21" i="38"/>
  <c r="D8" i="38"/>
  <c r="A64" i="45" l="1"/>
  <c r="I31" i="70"/>
  <c r="K30" i="70"/>
  <c r="E25" i="40"/>
  <c r="F24" i="40"/>
  <c r="G23" i="40"/>
  <c r="G36" i="52"/>
  <c r="F37" i="52"/>
  <c r="E41" i="52"/>
  <c r="D27" i="52"/>
  <c r="D27" i="51"/>
  <c r="A37" i="51"/>
  <c r="E38" i="51"/>
  <c r="F37" i="51"/>
  <c r="G36" i="51"/>
  <c r="D28" i="50"/>
  <c r="F38" i="50"/>
  <c r="G37" i="50"/>
  <c r="A37" i="50"/>
  <c r="E38" i="50"/>
  <c r="D12" i="47"/>
  <c r="F25" i="47"/>
  <c r="G24" i="47"/>
  <c r="E26" i="47"/>
  <c r="G10" i="47"/>
  <c r="F11" i="47"/>
  <c r="A25" i="47"/>
  <c r="A11" i="47"/>
  <c r="F25" i="46"/>
  <c r="G24" i="46"/>
  <c r="D19" i="46"/>
  <c r="F11" i="46"/>
  <c r="G10" i="46"/>
  <c r="A25" i="46"/>
  <c r="E25" i="46"/>
  <c r="A11" i="46"/>
  <c r="A25" i="44"/>
  <c r="D11" i="44"/>
  <c r="E25" i="44"/>
  <c r="F26" i="44"/>
  <c r="G25" i="44"/>
  <c r="E25" i="43"/>
  <c r="A12" i="43"/>
  <c r="A24" i="43"/>
  <c r="F25" i="43"/>
  <c r="G24" i="43"/>
  <c r="F12" i="43"/>
  <c r="G11" i="43"/>
  <c r="G13" i="40"/>
  <c r="F14" i="40"/>
  <c r="G14" i="40" s="1"/>
  <c r="G12" i="40"/>
  <c r="G11" i="40"/>
  <c r="A10" i="40"/>
  <c r="D10" i="40"/>
  <c r="E10" i="38"/>
  <c r="D9" i="38"/>
  <c r="A23" i="38"/>
  <c r="F10" i="38"/>
  <c r="G9" i="38"/>
  <c r="A9" i="38"/>
  <c r="E22" i="38"/>
  <c r="G22" i="38"/>
  <c r="F23" i="38"/>
  <c r="A65" i="45" l="1"/>
  <c r="K31" i="70"/>
  <c r="I32" i="70"/>
  <c r="G24" i="40"/>
  <c r="F25" i="40"/>
  <c r="E26" i="40"/>
  <c r="G37" i="52"/>
  <c r="F38" i="52"/>
  <c r="E42" i="52"/>
  <c r="D28" i="52"/>
  <c r="F38" i="51"/>
  <c r="G37" i="51"/>
  <c r="A38" i="51"/>
  <c r="D28" i="51"/>
  <c r="E39" i="51"/>
  <c r="E39" i="50"/>
  <c r="F39" i="50"/>
  <c r="G38" i="50"/>
  <c r="A38" i="50"/>
  <c r="D29" i="50"/>
  <c r="G25" i="47"/>
  <c r="F26" i="47"/>
  <c r="A26" i="47"/>
  <c r="E27" i="47"/>
  <c r="D17" i="47"/>
  <c r="A12" i="47"/>
  <c r="F12" i="47"/>
  <c r="G12" i="47" s="1"/>
  <c r="G11" i="47"/>
  <c r="F12" i="46"/>
  <c r="G12" i="46" s="1"/>
  <c r="G11" i="46"/>
  <c r="G25" i="46"/>
  <c r="F26" i="46"/>
  <c r="E26" i="46"/>
  <c r="A12" i="46"/>
  <c r="A26" i="46"/>
  <c r="D20" i="46"/>
  <c r="D12" i="44"/>
  <c r="A26" i="44"/>
  <c r="F27" i="44"/>
  <c r="G26" i="44"/>
  <c r="E26" i="44"/>
  <c r="A25" i="43"/>
  <c r="D17" i="43"/>
  <c r="G12" i="43"/>
  <c r="F26" i="43"/>
  <c r="G25" i="43"/>
  <c r="E26" i="43"/>
  <c r="D11" i="40"/>
  <c r="D12" i="40" s="1"/>
  <c r="D13" i="40" s="1"/>
  <c r="D14" i="40" s="1"/>
  <c r="A11" i="40"/>
  <c r="A12" i="40" s="1"/>
  <c r="A13" i="40" s="1"/>
  <c r="A14" i="40" s="1"/>
  <c r="E11" i="38"/>
  <c r="G10" i="38"/>
  <c r="F11" i="38"/>
  <c r="F24" i="38"/>
  <c r="G23" i="38"/>
  <c r="A24" i="38"/>
  <c r="E23" i="38"/>
  <c r="A10" i="38"/>
  <c r="D10" i="38"/>
  <c r="A66" i="45" l="1"/>
  <c r="K32" i="70"/>
  <c r="I33" i="70"/>
  <c r="G25" i="40"/>
  <c r="F26" i="40"/>
  <c r="E27" i="40"/>
  <c r="E43" i="52"/>
  <c r="G38" i="52"/>
  <c r="F39" i="52"/>
  <c r="D29" i="52"/>
  <c r="E40" i="51"/>
  <c r="A39" i="51"/>
  <c r="D29" i="51"/>
  <c r="G38" i="51"/>
  <c r="F39" i="51"/>
  <c r="A39" i="50"/>
  <c r="F40" i="50"/>
  <c r="G39" i="50"/>
  <c r="E40" i="50"/>
  <c r="D30" i="50"/>
  <c r="D18" i="47"/>
  <c r="A27" i="47"/>
  <c r="F27" i="47"/>
  <c r="G26" i="47"/>
  <c r="E28" i="47"/>
  <c r="A27" i="46"/>
  <c r="E27" i="46"/>
  <c r="F27" i="46"/>
  <c r="G26" i="46"/>
  <c r="D21" i="46"/>
  <c r="A27" i="44"/>
  <c r="E27" i="44"/>
  <c r="D17" i="44"/>
  <c r="F28" i="44"/>
  <c r="G27" i="44"/>
  <c r="E27" i="43"/>
  <c r="F27" i="43"/>
  <c r="G26" i="43"/>
  <c r="A26" i="43"/>
  <c r="D18" i="43"/>
  <c r="E12" i="38"/>
  <c r="F25" i="38"/>
  <c r="G24" i="38"/>
  <c r="G11" i="38"/>
  <c r="F12" i="38"/>
  <c r="A11" i="38"/>
  <c r="D11" i="38"/>
  <c r="E24" i="38"/>
  <c r="A25" i="38"/>
  <c r="A67" i="45" l="1"/>
  <c r="K33" i="70"/>
  <c r="I34" i="70"/>
  <c r="E28" i="40"/>
  <c r="F27" i="40"/>
  <c r="G26" i="40"/>
  <c r="F40" i="52"/>
  <c r="G39" i="52"/>
  <c r="E44" i="52"/>
  <c r="D30" i="52"/>
  <c r="D30" i="51"/>
  <c r="E41" i="51"/>
  <c r="F40" i="51"/>
  <c r="G39" i="51"/>
  <c r="A40" i="51"/>
  <c r="D31" i="50"/>
  <c r="G40" i="50"/>
  <c r="F41" i="50"/>
  <c r="E41" i="50"/>
  <c r="A40" i="50"/>
  <c r="F28" i="47"/>
  <c r="G27" i="47"/>
  <c r="A28" i="47"/>
  <c r="D19" i="47"/>
  <c r="E29" i="47"/>
  <c r="D22" i="46"/>
  <c r="G27" i="46"/>
  <c r="F28" i="46"/>
  <c r="A28" i="46"/>
  <c r="E28" i="46"/>
  <c r="F29" i="44"/>
  <c r="G28" i="44"/>
  <c r="E28" i="44"/>
  <c r="D18" i="44"/>
  <c r="A28" i="44"/>
  <c r="E28" i="43"/>
  <c r="D19" i="43"/>
  <c r="F28" i="43"/>
  <c r="G27" i="43"/>
  <c r="A27" i="43"/>
  <c r="D17" i="40"/>
  <c r="E13" i="38"/>
  <c r="A26" i="38"/>
  <c r="A12" i="38"/>
  <c r="G25" i="38"/>
  <c r="F26" i="38"/>
  <c r="D12" i="38"/>
  <c r="E25" i="38"/>
  <c r="F13" i="38"/>
  <c r="G12" i="38"/>
  <c r="A68" i="45" l="1"/>
  <c r="K34" i="70"/>
  <c r="G27" i="40"/>
  <c r="F28" i="40"/>
  <c r="G28" i="40" s="1"/>
  <c r="F41" i="52"/>
  <c r="G40" i="52"/>
  <c r="D31" i="52"/>
  <c r="E42" i="51"/>
  <c r="A41" i="51"/>
  <c r="F41" i="51"/>
  <c r="G40" i="51"/>
  <c r="D31" i="51"/>
  <c r="F42" i="50"/>
  <c r="G41" i="50"/>
  <c r="E42" i="50"/>
  <c r="D32" i="50"/>
  <c r="A41" i="50"/>
  <c r="E30" i="47"/>
  <c r="A29" i="47"/>
  <c r="D20" i="47"/>
  <c r="F29" i="47"/>
  <c r="G28" i="47"/>
  <c r="A29" i="46"/>
  <c r="D23" i="46"/>
  <c r="E29" i="46"/>
  <c r="F29" i="46"/>
  <c r="G28" i="46"/>
  <c r="E29" i="44"/>
  <c r="A29" i="44"/>
  <c r="D19" i="44"/>
  <c r="F30" i="44"/>
  <c r="G29" i="44"/>
  <c r="F29" i="43"/>
  <c r="G28" i="43"/>
  <c r="E29" i="43"/>
  <c r="A28" i="43"/>
  <c r="D20" i="43"/>
  <c r="D21" i="43" s="1"/>
  <c r="D18" i="40"/>
  <c r="G13" i="38"/>
  <c r="D13" i="38"/>
  <c r="A13" i="38"/>
  <c r="A27" i="38"/>
  <c r="F27" i="38"/>
  <c r="G26" i="38"/>
  <c r="E26" i="38"/>
  <c r="A69" i="45" l="1"/>
  <c r="G41" i="52"/>
  <c r="F42" i="52"/>
  <c r="D32" i="52"/>
  <c r="D32" i="51"/>
  <c r="A42" i="51"/>
  <c r="F42" i="51"/>
  <c r="G41" i="51"/>
  <c r="E43" i="51"/>
  <c r="E43" i="50"/>
  <c r="A42" i="50"/>
  <c r="D33" i="50"/>
  <c r="F43" i="50"/>
  <c r="G42" i="50"/>
  <c r="A30" i="47"/>
  <c r="E31" i="47"/>
  <c r="D21" i="47"/>
  <c r="F30" i="47"/>
  <c r="G29" i="47"/>
  <c r="D24" i="46"/>
  <c r="E30" i="46"/>
  <c r="F30" i="46"/>
  <c r="G29" i="46"/>
  <c r="A30" i="46"/>
  <c r="F31" i="44"/>
  <c r="G30" i="44"/>
  <c r="A30" i="44"/>
  <c r="D20" i="44"/>
  <c r="E30" i="44"/>
  <c r="A29" i="43"/>
  <c r="G29" i="43"/>
  <c r="F30" i="43"/>
  <c r="E30" i="43"/>
  <c r="D19" i="40"/>
  <c r="G27" i="38"/>
  <c r="F28" i="38"/>
  <c r="E27" i="38"/>
  <c r="A28" i="38"/>
  <c r="D17" i="38"/>
  <c r="A70" i="45" l="1"/>
  <c r="F43" i="52"/>
  <c r="G42" i="52"/>
  <c r="D33" i="52"/>
  <c r="A43" i="51"/>
  <c r="F43" i="51"/>
  <c r="G42" i="51"/>
  <c r="E44" i="51"/>
  <c r="D33" i="51"/>
  <c r="A43" i="50"/>
  <c r="E44" i="50"/>
  <c r="E45" i="50" s="1"/>
  <c r="F44" i="50"/>
  <c r="G43" i="50"/>
  <c r="D34" i="50"/>
  <c r="F31" i="47"/>
  <c r="G30" i="47"/>
  <c r="D22" i="47"/>
  <c r="A31" i="47"/>
  <c r="E32" i="47"/>
  <c r="A31" i="46"/>
  <c r="E31" i="46"/>
  <c r="D25" i="46"/>
  <c r="F31" i="46"/>
  <c r="G30" i="46"/>
  <c r="G31" i="44"/>
  <c r="F32" i="44"/>
  <c r="A31" i="44"/>
  <c r="A32" i="44" s="1"/>
  <c r="A33" i="44" s="1"/>
  <c r="A34" i="44" s="1"/>
  <c r="E31" i="44"/>
  <c r="E32" i="44" s="1"/>
  <c r="D21" i="44"/>
  <c r="D22" i="43"/>
  <c r="A30" i="43"/>
  <c r="G30" i="43"/>
  <c r="D20" i="40"/>
  <c r="D18" i="38"/>
  <c r="E28" i="38"/>
  <c r="A29" i="38"/>
  <c r="G28" i="38"/>
  <c r="F29" i="38"/>
  <c r="A71" i="45" l="1"/>
  <c r="A72" i="45" s="1"/>
  <c r="A73" i="45" s="1"/>
  <c r="A74" i="45" s="1"/>
  <c r="A75" i="45" s="1"/>
  <c r="A76" i="45" s="1"/>
  <c r="A77" i="45" s="1"/>
  <c r="A78" i="45" s="1"/>
  <c r="A79" i="45" s="1"/>
  <c r="A80" i="45" s="1"/>
  <c r="A81" i="45" s="1"/>
  <c r="A82" i="45" s="1"/>
  <c r="A83" i="45" s="1"/>
  <c r="A84" i="45" s="1"/>
  <c r="A85" i="45" s="1"/>
  <c r="A86" i="45" s="1"/>
  <c r="A87" i="45" s="1"/>
  <c r="A88" i="45" s="1"/>
  <c r="A89" i="45" s="1"/>
  <c r="A90" i="45" s="1"/>
  <c r="A91" i="45" s="1"/>
  <c r="A92" i="45" s="1"/>
  <c r="A93" i="45" s="1"/>
  <c r="A94" i="45" s="1"/>
  <c r="E33" i="44"/>
  <c r="D34" i="52"/>
  <c r="D35" i="52" s="1"/>
  <c r="D36" i="52" s="1"/>
  <c r="D37" i="52" s="1"/>
  <c r="D38" i="52" s="1"/>
  <c r="D39" i="52" s="1"/>
  <c r="D40" i="52" s="1"/>
  <c r="D41" i="52" s="1"/>
  <c r="D42" i="52" s="1"/>
  <c r="D43" i="52" s="1"/>
  <c r="D44" i="52" s="1"/>
  <c r="G43" i="52"/>
  <c r="F44" i="52"/>
  <c r="G44" i="52" s="1"/>
  <c r="D34" i="51"/>
  <c r="G43" i="51"/>
  <c r="F44" i="51"/>
  <c r="E45" i="51"/>
  <c r="A44" i="51"/>
  <c r="G44" i="50"/>
  <c r="F45" i="50"/>
  <c r="E46" i="50"/>
  <c r="E47" i="50" s="1"/>
  <c r="D35" i="50"/>
  <c r="A44" i="50"/>
  <c r="A45" i="50" s="1"/>
  <c r="E33" i="47"/>
  <c r="A32" i="47"/>
  <c r="D23" i="47"/>
  <c r="G31" i="47"/>
  <c r="F32" i="47"/>
  <c r="E32" i="46"/>
  <c r="F32" i="46"/>
  <c r="G31" i="46"/>
  <c r="D26" i="46"/>
  <c r="A32" i="46"/>
  <c r="F33" i="44"/>
  <c r="G32" i="44"/>
  <c r="D22" i="44"/>
  <c r="D23" i="43"/>
  <c r="D21" i="40"/>
  <c r="D22" i="40" s="1"/>
  <c r="D23" i="40" s="1"/>
  <c r="D24" i="40" s="1"/>
  <c r="D25" i="40" s="1"/>
  <c r="D26" i="40" s="1"/>
  <c r="D27" i="40" s="1"/>
  <c r="D28" i="40" s="1"/>
  <c r="E29" i="38"/>
  <c r="A30" i="38"/>
  <c r="D19" i="38"/>
  <c r="G29" i="38"/>
  <c r="F30" i="38"/>
  <c r="I26" i="40" l="1"/>
  <c r="K26" i="40" s="1"/>
  <c r="I27" i="40"/>
  <c r="K27" i="40" s="1"/>
  <c r="I23" i="40"/>
  <c r="K23" i="40" s="1"/>
  <c r="I28" i="40"/>
  <c r="K28" i="40" s="1"/>
  <c r="I24" i="40"/>
  <c r="K24" i="40" s="1"/>
  <c r="I25" i="40"/>
  <c r="K25" i="40" s="1"/>
  <c r="I22" i="40"/>
  <c r="K22" i="40" s="1"/>
  <c r="E34" i="44"/>
  <c r="I36" i="52"/>
  <c r="K36" i="52" s="1"/>
  <c r="I37" i="52"/>
  <c r="K37" i="52" s="1"/>
  <c r="I38" i="52"/>
  <c r="K38" i="52" s="1"/>
  <c r="I40" i="52"/>
  <c r="K40" i="52" s="1"/>
  <c r="I39" i="52"/>
  <c r="K39" i="52" s="1"/>
  <c r="I42" i="52"/>
  <c r="K42" i="52" s="1"/>
  <c r="I34" i="52"/>
  <c r="K34" i="52" s="1"/>
  <c r="I43" i="52"/>
  <c r="K43" i="52" s="1"/>
  <c r="I41" i="52"/>
  <c r="K41" i="52" s="1"/>
  <c r="I44" i="52"/>
  <c r="K44" i="52" s="1"/>
  <c r="I35" i="52"/>
  <c r="K35" i="52" s="1"/>
  <c r="I33" i="52"/>
  <c r="K33" i="52" s="1"/>
  <c r="E46" i="51"/>
  <c r="F45" i="51"/>
  <c r="G44" i="51"/>
  <c r="D35" i="51"/>
  <c r="A45" i="51"/>
  <c r="A46" i="50"/>
  <c r="A47" i="50" s="1"/>
  <c r="F46" i="50"/>
  <c r="G45" i="50"/>
  <c r="D36" i="50"/>
  <c r="A33" i="47"/>
  <c r="F33" i="47"/>
  <c r="G32" i="47"/>
  <c r="E34" i="47"/>
  <c r="D24" i="47"/>
  <c r="E33" i="46"/>
  <c r="F33" i="46"/>
  <c r="G32" i="46"/>
  <c r="A33" i="46"/>
  <c r="D27" i="46"/>
  <c r="F34" i="44"/>
  <c r="G33" i="44"/>
  <c r="D23" i="44"/>
  <c r="D24" i="43"/>
  <c r="F31" i="38"/>
  <c r="G30" i="38"/>
  <c r="A31" i="38"/>
  <c r="D20" i="38"/>
  <c r="E30" i="38"/>
  <c r="A46" i="51" l="1"/>
  <c r="F46" i="51"/>
  <c r="G45" i="51"/>
  <c r="D36" i="51"/>
  <c r="E47" i="51"/>
  <c r="E48" i="51" s="1"/>
  <c r="G46" i="50"/>
  <c r="F47" i="50"/>
  <c r="D37" i="50"/>
  <c r="D25" i="47"/>
  <c r="F34" i="47"/>
  <c r="G33" i="47"/>
  <c r="E35" i="47"/>
  <c r="A34" i="47"/>
  <c r="E34" i="46"/>
  <c r="F34" i="46"/>
  <c r="G33" i="46"/>
  <c r="A34" i="46"/>
  <c r="D28" i="46"/>
  <c r="G34" i="44"/>
  <c r="D24" i="44"/>
  <c r="D25" i="43"/>
  <c r="A32" i="38"/>
  <c r="D21" i="38"/>
  <c r="F32" i="38"/>
  <c r="G31" i="38"/>
  <c r="E31" i="38"/>
  <c r="E49" i="51" l="1"/>
  <c r="F47" i="51"/>
  <c r="F48" i="51" s="1"/>
  <c r="G46" i="51"/>
  <c r="D37" i="51"/>
  <c r="A47" i="51"/>
  <c r="A48" i="51" s="1"/>
  <c r="G47" i="50"/>
  <c r="D38" i="50"/>
  <c r="E36" i="47"/>
  <c r="A35" i="47"/>
  <c r="F35" i="47"/>
  <c r="G34" i="47"/>
  <c r="D26" i="47"/>
  <c r="A35" i="46"/>
  <c r="E35" i="46"/>
  <c r="D29" i="46"/>
  <c r="F35" i="46"/>
  <c r="G34" i="46"/>
  <c r="D25" i="44"/>
  <c r="D26" i="43"/>
  <c r="G32" i="38"/>
  <c r="F33" i="38"/>
  <c r="D22" i="38"/>
  <c r="A33" i="38"/>
  <c r="E32" i="38"/>
  <c r="F49" i="51" l="1"/>
  <c r="G48" i="51"/>
  <c r="A49" i="51"/>
  <c r="E50" i="51"/>
  <c r="D38" i="51"/>
  <c r="G47" i="51"/>
  <c r="D39" i="50"/>
  <c r="D27" i="47"/>
  <c r="A36" i="47"/>
  <c r="F36" i="47"/>
  <c r="G35" i="47"/>
  <c r="E37" i="47"/>
  <c r="F36" i="46"/>
  <c r="G35" i="46"/>
  <c r="E36" i="46"/>
  <c r="A36" i="46"/>
  <c r="D30" i="46"/>
  <c r="D26" i="44"/>
  <c r="D27" i="43"/>
  <c r="A34" i="38"/>
  <c r="D23" i="38"/>
  <c r="E33" i="38"/>
  <c r="G33" i="38"/>
  <c r="F34" i="38"/>
  <c r="A50" i="51" l="1"/>
  <c r="E51" i="51"/>
  <c r="F50" i="51"/>
  <c r="G49" i="51"/>
  <c r="D39" i="51"/>
  <c r="D40" i="50"/>
  <c r="A37" i="47"/>
  <c r="E38" i="47"/>
  <c r="F37" i="47"/>
  <c r="G36" i="47"/>
  <c r="D28" i="47"/>
  <c r="D31" i="46"/>
  <c r="A37" i="46"/>
  <c r="F37" i="46"/>
  <c r="G36" i="46"/>
  <c r="E37" i="46"/>
  <c r="D27" i="44"/>
  <c r="D28" i="43"/>
  <c r="D24" i="38"/>
  <c r="F35" i="38"/>
  <c r="G34" i="38"/>
  <c r="A35" i="38"/>
  <c r="E34" i="38"/>
  <c r="E52" i="51" l="1"/>
  <c r="A51" i="51"/>
  <c r="F51" i="51"/>
  <c r="G50" i="51"/>
  <c r="D40" i="51"/>
  <c r="D41" i="50"/>
  <c r="D29" i="47"/>
  <c r="E39" i="47"/>
  <c r="F38" i="47"/>
  <c r="G37" i="47"/>
  <c r="A38" i="47"/>
  <c r="E38" i="46"/>
  <c r="E39" i="46" s="1"/>
  <c r="E40" i="46" s="1"/>
  <c r="E41" i="46" s="1"/>
  <c r="F38" i="46"/>
  <c r="F39" i="46" s="1"/>
  <c r="G37" i="46"/>
  <c r="A38" i="46"/>
  <c r="A39" i="46" s="1"/>
  <c r="A40" i="46" s="1"/>
  <c r="A41" i="46" s="1"/>
  <c r="D32" i="46"/>
  <c r="D28" i="44"/>
  <c r="D29" i="43"/>
  <c r="A36" i="38"/>
  <c r="E35" i="38"/>
  <c r="D25" i="38"/>
  <c r="F36" i="38"/>
  <c r="G35" i="38"/>
  <c r="A52" i="51" l="1"/>
  <c r="F52" i="51"/>
  <c r="G51" i="51"/>
  <c r="D41" i="51"/>
  <c r="D42" i="50"/>
  <c r="F39" i="47"/>
  <c r="G38" i="47"/>
  <c r="A39" i="47"/>
  <c r="D30" i="47"/>
  <c r="E40" i="47"/>
  <c r="A42" i="46"/>
  <c r="E42" i="46"/>
  <c r="G39" i="46"/>
  <c r="F40" i="46"/>
  <c r="D33" i="46"/>
  <c r="G38" i="46"/>
  <c r="D29" i="44"/>
  <c r="D30" i="43"/>
  <c r="G36" i="38"/>
  <c r="F37" i="38"/>
  <c r="E36" i="38"/>
  <c r="D26" i="38"/>
  <c r="A37" i="38"/>
  <c r="G52" i="51" l="1"/>
  <c r="D42" i="51"/>
  <c r="D43" i="50"/>
  <c r="E41" i="47"/>
  <c r="D31" i="47"/>
  <c r="A40" i="47"/>
  <c r="G39" i="47"/>
  <c r="F40" i="47"/>
  <c r="G40" i="46"/>
  <c r="F41" i="46"/>
  <c r="D34" i="46"/>
  <c r="D30" i="44"/>
  <c r="I21" i="43"/>
  <c r="K21" i="43" s="1"/>
  <c r="E37" i="38"/>
  <c r="A38" i="38"/>
  <c r="G37" i="38"/>
  <c r="F38" i="38"/>
  <c r="D27" i="38"/>
  <c r="D43" i="51" l="1"/>
  <c r="D44" i="50"/>
  <c r="D45" i="50" s="1"/>
  <c r="D46" i="50" s="1"/>
  <c r="D47" i="50" s="1"/>
  <c r="D32" i="47"/>
  <c r="F41" i="47"/>
  <c r="G40" i="47"/>
  <c r="E42" i="47"/>
  <c r="E43" i="47" s="1"/>
  <c r="A41" i="47"/>
  <c r="F42" i="46"/>
  <c r="G41" i="46"/>
  <c r="D35" i="46"/>
  <c r="D31" i="44"/>
  <c r="D32" i="44" s="1"/>
  <c r="D33" i="44" s="1"/>
  <c r="D34" i="44" s="1"/>
  <c r="I30" i="44" s="1"/>
  <c r="K30" i="44" s="1"/>
  <c r="D28" i="38"/>
  <c r="A39" i="38"/>
  <c r="F39" i="38"/>
  <c r="G38" i="38"/>
  <c r="E38" i="38"/>
  <c r="I24" i="44" l="1"/>
  <c r="K24" i="44" s="1"/>
  <c r="I26" i="44"/>
  <c r="K26" i="44" s="1"/>
  <c r="I28" i="44"/>
  <c r="K28" i="44" s="1"/>
  <c r="I32" i="44"/>
  <c r="K32" i="44" s="1"/>
  <c r="I33" i="44"/>
  <c r="K33" i="44" s="1"/>
  <c r="I34" i="44"/>
  <c r="K34" i="44" s="1"/>
  <c r="D44" i="51"/>
  <c r="E44" i="47"/>
  <c r="E45" i="47" s="1"/>
  <c r="A42" i="47"/>
  <c r="A43" i="47" s="1"/>
  <c r="A44" i="47" s="1"/>
  <c r="A45" i="47" s="1"/>
  <c r="F42" i="47"/>
  <c r="F43" i="47" s="1"/>
  <c r="G41" i="47"/>
  <c r="D33" i="47"/>
  <c r="G42" i="46"/>
  <c r="D36" i="46"/>
  <c r="I31" i="44"/>
  <c r="K31" i="44" s="1"/>
  <c r="I17" i="44"/>
  <c r="K17" i="44" s="1"/>
  <c r="I18" i="44"/>
  <c r="K18" i="44" s="1"/>
  <c r="I19" i="44"/>
  <c r="K19" i="44" s="1"/>
  <c r="I3" i="44"/>
  <c r="I20" i="44"/>
  <c r="K20" i="44" s="1"/>
  <c r="I21" i="44"/>
  <c r="K21" i="44" s="1"/>
  <c r="I22" i="44"/>
  <c r="K22" i="44" s="1"/>
  <c r="I25" i="44"/>
  <c r="K25" i="44" s="1"/>
  <c r="I29" i="44"/>
  <c r="K29" i="44" s="1"/>
  <c r="I23" i="44"/>
  <c r="K23" i="44" s="1"/>
  <c r="I27" i="44"/>
  <c r="K27" i="44" s="1"/>
  <c r="G39" i="38"/>
  <c r="E39" i="38"/>
  <c r="D29" i="38"/>
  <c r="D45" i="51" l="1"/>
  <c r="I47" i="50"/>
  <c r="K47" i="50" s="1"/>
  <c r="I44" i="50"/>
  <c r="K44" i="50" s="1"/>
  <c r="I40" i="50"/>
  <c r="K40" i="50" s="1"/>
  <c r="I45" i="50"/>
  <c r="K45" i="50" s="1"/>
  <c r="I46" i="50"/>
  <c r="K46" i="50" s="1"/>
  <c r="I18" i="50"/>
  <c r="K18" i="50" s="1"/>
  <c r="I17" i="50"/>
  <c r="K17" i="50" s="1"/>
  <c r="I19" i="50"/>
  <c r="K19" i="50" s="1"/>
  <c r="I3" i="50"/>
  <c r="I21" i="50"/>
  <c r="K21" i="50" s="1"/>
  <c r="I24" i="50"/>
  <c r="K24" i="50" s="1"/>
  <c r="I20" i="50"/>
  <c r="K20" i="50" s="1"/>
  <c r="I23" i="50"/>
  <c r="K23" i="50" s="1"/>
  <c r="I22" i="50"/>
  <c r="K22" i="50" s="1"/>
  <c r="I25" i="50"/>
  <c r="K25" i="50" s="1"/>
  <c r="I26" i="50"/>
  <c r="K26" i="50" s="1"/>
  <c r="I27" i="50"/>
  <c r="K27" i="50" s="1"/>
  <c r="I28" i="50"/>
  <c r="K28" i="50" s="1"/>
  <c r="I29" i="50"/>
  <c r="K29" i="50" s="1"/>
  <c r="I31" i="50"/>
  <c r="K31" i="50" s="1"/>
  <c r="I30" i="50"/>
  <c r="K30" i="50" s="1"/>
  <c r="I34" i="50"/>
  <c r="K34" i="50" s="1"/>
  <c r="I35" i="50"/>
  <c r="K35" i="50" s="1"/>
  <c r="I33" i="50"/>
  <c r="K33" i="50" s="1"/>
  <c r="I32" i="50"/>
  <c r="K32" i="50" s="1"/>
  <c r="I36" i="50"/>
  <c r="K36" i="50" s="1"/>
  <c r="I37" i="50"/>
  <c r="K37" i="50" s="1"/>
  <c r="I43" i="50"/>
  <c r="K43" i="50" s="1"/>
  <c r="I39" i="50"/>
  <c r="K39" i="50" s="1"/>
  <c r="I41" i="50"/>
  <c r="K41" i="50" s="1"/>
  <c r="G43" i="47"/>
  <c r="F44" i="47"/>
  <c r="A46" i="47"/>
  <c r="E46" i="47"/>
  <c r="D34" i="47"/>
  <c r="G42" i="47"/>
  <c r="D37" i="46"/>
  <c r="I4" i="44"/>
  <c r="I5" i="44" s="1"/>
  <c r="I6" i="44" s="1"/>
  <c r="I7" i="44" s="1"/>
  <c r="I8" i="44" s="1"/>
  <c r="I9" i="44" s="1"/>
  <c r="I10" i="44" s="1"/>
  <c r="I11" i="44" s="1"/>
  <c r="I12" i="44" s="1"/>
  <c r="K3" i="44"/>
  <c r="K4" i="44" s="1"/>
  <c r="K5" i="44" s="1"/>
  <c r="K6" i="44" s="1"/>
  <c r="K7" i="44" s="1"/>
  <c r="K8" i="44" s="1"/>
  <c r="K9" i="44" s="1"/>
  <c r="K10" i="44" s="1"/>
  <c r="K11" i="44" s="1"/>
  <c r="K12" i="44" s="1"/>
  <c r="AB4" i="44"/>
  <c r="AB3" i="44"/>
  <c r="D30" i="38"/>
  <c r="X5" i="75" l="1"/>
  <c r="D98" i="45"/>
  <c r="D46" i="51"/>
  <c r="I42" i="50"/>
  <c r="K42" i="50" s="1"/>
  <c r="I38" i="50"/>
  <c r="K38" i="50" s="1"/>
  <c r="AB4" i="50"/>
  <c r="K3" i="50"/>
  <c r="K4" i="50" s="1"/>
  <c r="K5" i="50" s="1"/>
  <c r="K6" i="50" s="1"/>
  <c r="K7" i="50" s="1"/>
  <c r="K8" i="50" s="1"/>
  <c r="K9" i="50" s="1"/>
  <c r="K10" i="50" s="1"/>
  <c r="K11" i="50" s="1"/>
  <c r="K12" i="50" s="1"/>
  <c r="AB3" i="50"/>
  <c r="I4" i="50"/>
  <c r="I5" i="50" s="1"/>
  <c r="I6" i="50" s="1"/>
  <c r="I7" i="50" s="1"/>
  <c r="I8" i="50" s="1"/>
  <c r="I9" i="50" s="1"/>
  <c r="I10" i="50" s="1"/>
  <c r="I11" i="50" s="1"/>
  <c r="I12" i="50" s="1"/>
  <c r="A47" i="47"/>
  <c r="G44" i="47"/>
  <c r="F45" i="47"/>
  <c r="E47" i="47"/>
  <c r="D35" i="47"/>
  <c r="D38" i="46"/>
  <c r="D39" i="46" s="1"/>
  <c r="D40" i="46" s="1"/>
  <c r="D41" i="46" s="1"/>
  <c r="D42" i="46" s="1"/>
  <c r="H33" i="44"/>
  <c r="J33" i="44" s="1"/>
  <c r="H32" i="44"/>
  <c r="J32" i="44" s="1"/>
  <c r="H34" i="44"/>
  <c r="J34" i="44" s="1"/>
  <c r="H28" i="44"/>
  <c r="J28" i="44" s="1"/>
  <c r="H24" i="44"/>
  <c r="J24" i="44" s="1"/>
  <c r="H30" i="44"/>
  <c r="J30" i="44" s="1"/>
  <c r="H26" i="44"/>
  <c r="J26" i="44" s="1"/>
  <c r="H22" i="44"/>
  <c r="J22" i="44" s="1"/>
  <c r="H19" i="44"/>
  <c r="J19" i="44" s="1"/>
  <c r="H23" i="44"/>
  <c r="J23" i="44" s="1"/>
  <c r="H29" i="44"/>
  <c r="J29" i="44" s="1"/>
  <c r="H20" i="44"/>
  <c r="J20" i="44" s="1"/>
  <c r="H31" i="44"/>
  <c r="J31" i="44" s="1"/>
  <c r="H27" i="44"/>
  <c r="J27" i="44" s="1"/>
  <c r="H21" i="44"/>
  <c r="J21" i="44" s="1"/>
  <c r="H18" i="44"/>
  <c r="J18" i="44" s="1"/>
  <c r="H17" i="44"/>
  <c r="J17" i="44" s="1"/>
  <c r="H3" i="44"/>
  <c r="J3" i="44" s="1"/>
  <c r="H25" i="44"/>
  <c r="J25" i="44" s="1"/>
  <c r="AB17" i="44"/>
  <c r="H4" i="44"/>
  <c r="J4" i="44" s="1"/>
  <c r="H5" i="44"/>
  <c r="J5" i="44" s="1"/>
  <c r="H6" i="44"/>
  <c r="J6" i="44" s="1"/>
  <c r="H7" i="44"/>
  <c r="J7" i="44" s="1"/>
  <c r="H8" i="44"/>
  <c r="J8" i="44" s="1"/>
  <c r="H9" i="44"/>
  <c r="J9" i="44" s="1"/>
  <c r="H10" i="44"/>
  <c r="J10" i="44" s="1"/>
  <c r="H11" i="44"/>
  <c r="J11" i="44" s="1"/>
  <c r="H12" i="44"/>
  <c r="J12" i="44" s="1"/>
  <c r="D31" i="38"/>
  <c r="Q9" i="75" l="1"/>
  <c r="Q9" i="74"/>
  <c r="Q9" i="72"/>
  <c r="D99" i="45"/>
  <c r="D100" i="45" s="1"/>
  <c r="D101" i="45" s="1"/>
  <c r="D102" i="45" s="1"/>
  <c r="D103" i="45" s="1"/>
  <c r="D104" i="45" s="1"/>
  <c r="D105" i="45" s="1"/>
  <c r="D106" i="45" s="1"/>
  <c r="D107" i="45" s="1"/>
  <c r="D108" i="45" s="1"/>
  <c r="D109" i="45" s="1"/>
  <c r="D110" i="45" s="1"/>
  <c r="D111" i="45" s="1"/>
  <c r="D112" i="45" s="1"/>
  <c r="D113" i="45" s="1"/>
  <c r="D114" i="45" s="1"/>
  <c r="D115" i="45" s="1"/>
  <c r="D116" i="45" s="1"/>
  <c r="D117" i="45" s="1"/>
  <c r="D118" i="45" s="1"/>
  <c r="D119" i="45" s="1"/>
  <c r="D120" i="45" s="1"/>
  <c r="I118" i="45" s="1"/>
  <c r="K118" i="45" s="1"/>
  <c r="AB21" i="44"/>
  <c r="Q9" i="39"/>
  <c r="D47" i="51"/>
  <c r="D48" i="51" s="1"/>
  <c r="D49" i="51" s="1"/>
  <c r="D50" i="51" s="1"/>
  <c r="D51" i="51" s="1"/>
  <c r="D52" i="51" s="1"/>
  <c r="H47" i="50"/>
  <c r="J47" i="50" s="1"/>
  <c r="H46" i="50"/>
  <c r="J46" i="50" s="1"/>
  <c r="H45" i="50"/>
  <c r="J45" i="50" s="1"/>
  <c r="H42" i="50"/>
  <c r="J42" i="50" s="1"/>
  <c r="H41" i="50"/>
  <c r="J41" i="50" s="1"/>
  <c r="H37" i="50"/>
  <c r="J37" i="50" s="1"/>
  <c r="H33" i="50"/>
  <c r="J33" i="50" s="1"/>
  <c r="H44" i="50"/>
  <c r="J44" i="50" s="1"/>
  <c r="H39" i="50"/>
  <c r="J39" i="50" s="1"/>
  <c r="H36" i="50"/>
  <c r="J36" i="50" s="1"/>
  <c r="H43" i="50"/>
  <c r="J43" i="50" s="1"/>
  <c r="H29" i="50"/>
  <c r="J29" i="50" s="1"/>
  <c r="H25" i="50"/>
  <c r="J25" i="50" s="1"/>
  <c r="H40" i="50"/>
  <c r="J40" i="50" s="1"/>
  <c r="H34" i="50"/>
  <c r="J34" i="50" s="1"/>
  <c r="H32" i="50"/>
  <c r="J32" i="50" s="1"/>
  <c r="H26" i="50"/>
  <c r="J26" i="50" s="1"/>
  <c r="H23" i="50"/>
  <c r="J23" i="50" s="1"/>
  <c r="H31" i="50"/>
  <c r="J31" i="50" s="1"/>
  <c r="H30" i="50"/>
  <c r="J30" i="50" s="1"/>
  <c r="H27" i="50"/>
  <c r="J27" i="50" s="1"/>
  <c r="H24" i="50"/>
  <c r="J24" i="50" s="1"/>
  <c r="H20" i="50"/>
  <c r="J20" i="50" s="1"/>
  <c r="H17" i="50"/>
  <c r="J17" i="50" s="1"/>
  <c r="H28" i="50"/>
  <c r="J28" i="50" s="1"/>
  <c r="H19" i="50"/>
  <c r="J19" i="50" s="1"/>
  <c r="H3" i="50"/>
  <c r="J3" i="50" s="1"/>
  <c r="H18" i="50"/>
  <c r="J18" i="50" s="1"/>
  <c r="H35" i="50"/>
  <c r="J35" i="50" s="1"/>
  <c r="H22" i="50"/>
  <c r="J22" i="50" s="1"/>
  <c r="H21" i="50"/>
  <c r="J21" i="50" s="1"/>
  <c r="AB17" i="50"/>
  <c r="H38" i="50"/>
  <c r="J38" i="50" s="1"/>
  <c r="H5" i="50"/>
  <c r="J5" i="50" s="1"/>
  <c r="H4" i="50"/>
  <c r="J4" i="50" s="1"/>
  <c r="H6" i="50"/>
  <c r="J6" i="50" s="1"/>
  <c r="H7" i="50"/>
  <c r="J7" i="50" s="1"/>
  <c r="H8" i="50"/>
  <c r="J8" i="50" s="1"/>
  <c r="H9" i="50"/>
  <c r="J9" i="50" s="1"/>
  <c r="H10" i="50"/>
  <c r="J10" i="50" s="1"/>
  <c r="H11" i="50"/>
  <c r="J11" i="50" s="1"/>
  <c r="H12" i="50"/>
  <c r="J12" i="50" s="1"/>
  <c r="E48" i="47"/>
  <c r="E49" i="47" s="1"/>
  <c r="A48" i="47"/>
  <c r="A49" i="47" s="1"/>
  <c r="F46" i="47"/>
  <c r="G45" i="47"/>
  <c r="D36" i="47"/>
  <c r="M34" i="44"/>
  <c r="N34" i="44" s="1"/>
  <c r="L34" i="44"/>
  <c r="M32" i="44"/>
  <c r="N32" i="44" s="1"/>
  <c r="L32" i="44"/>
  <c r="L33" i="44"/>
  <c r="M33" i="44"/>
  <c r="N33" i="44" s="1"/>
  <c r="M25" i="44"/>
  <c r="N25" i="44" s="1"/>
  <c r="L25" i="44"/>
  <c r="L26" i="44"/>
  <c r="M26" i="44"/>
  <c r="N26" i="44" s="1"/>
  <c r="M9" i="44"/>
  <c r="N9" i="44" s="1"/>
  <c r="L9" i="44"/>
  <c r="L5" i="44"/>
  <c r="M5" i="44"/>
  <c r="N5" i="44" s="1"/>
  <c r="L3" i="44"/>
  <c r="M3" i="44"/>
  <c r="N3" i="44" s="1"/>
  <c r="M27" i="44"/>
  <c r="N27" i="44" s="1"/>
  <c r="L27" i="44"/>
  <c r="M23" i="44"/>
  <c r="N23" i="44" s="1"/>
  <c r="L23" i="44"/>
  <c r="L30" i="44"/>
  <c r="M30" i="44"/>
  <c r="N30" i="44" s="1"/>
  <c r="M10" i="44"/>
  <c r="N10" i="44" s="1"/>
  <c r="L10" i="44"/>
  <c r="M29" i="44"/>
  <c r="N29" i="44" s="1"/>
  <c r="L29" i="44"/>
  <c r="M12" i="44"/>
  <c r="N12" i="44" s="1"/>
  <c r="L12" i="44"/>
  <c r="M8" i="44"/>
  <c r="N8" i="44" s="1"/>
  <c r="L8" i="44"/>
  <c r="L4" i="44"/>
  <c r="M4" i="44"/>
  <c r="N4" i="44" s="1"/>
  <c r="M17" i="44"/>
  <c r="N17" i="44" s="1"/>
  <c r="L17" i="44"/>
  <c r="M31" i="44"/>
  <c r="N31" i="44" s="1"/>
  <c r="L31" i="44"/>
  <c r="L19" i="44"/>
  <c r="M19" i="44"/>
  <c r="N19" i="44" s="1"/>
  <c r="L24" i="44"/>
  <c r="M24" i="44"/>
  <c r="N24" i="44" s="1"/>
  <c r="L6" i="44"/>
  <c r="M6" i="44"/>
  <c r="N6" i="44" s="1"/>
  <c r="M21" i="44"/>
  <c r="N21" i="44" s="1"/>
  <c r="L21" i="44"/>
  <c r="L11" i="44"/>
  <c r="M11" i="44"/>
  <c r="N11" i="44" s="1"/>
  <c r="M7" i="44"/>
  <c r="N7" i="44" s="1"/>
  <c r="L7" i="44"/>
  <c r="M18" i="44"/>
  <c r="N18" i="44" s="1"/>
  <c r="L18" i="44"/>
  <c r="M20" i="44"/>
  <c r="N20" i="44" s="1"/>
  <c r="L20" i="44"/>
  <c r="L22" i="44"/>
  <c r="M22" i="44"/>
  <c r="N22" i="44" s="1"/>
  <c r="L28" i="44"/>
  <c r="M28" i="44"/>
  <c r="N28" i="44" s="1"/>
  <c r="D32" i="38"/>
  <c r="B29" i="75" l="1"/>
  <c r="B29" i="74"/>
  <c r="B29" i="72"/>
  <c r="R9" i="72"/>
  <c r="T9" i="72"/>
  <c r="T9" i="74"/>
  <c r="R9" i="74"/>
  <c r="T9" i="75"/>
  <c r="R9" i="75"/>
  <c r="I3" i="45"/>
  <c r="I4" i="45" s="1"/>
  <c r="I98" i="45"/>
  <c r="K98" i="45" s="1"/>
  <c r="I101" i="45"/>
  <c r="K101" i="45" s="1"/>
  <c r="I110" i="45"/>
  <c r="K110" i="45" s="1"/>
  <c r="I103" i="45"/>
  <c r="K103" i="45" s="1"/>
  <c r="I107" i="45"/>
  <c r="K107" i="45" s="1"/>
  <c r="I105" i="45"/>
  <c r="K105" i="45" s="1"/>
  <c r="I111" i="45"/>
  <c r="K111" i="45" s="1"/>
  <c r="I120" i="45"/>
  <c r="K120" i="45" s="1"/>
  <c r="I116" i="45"/>
  <c r="K116" i="45" s="1"/>
  <c r="I119" i="45"/>
  <c r="K119" i="45" s="1"/>
  <c r="I115" i="45"/>
  <c r="K115" i="45" s="1"/>
  <c r="I113" i="45"/>
  <c r="K113" i="45" s="1"/>
  <c r="I108" i="45"/>
  <c r="K108" i="45" s="1"/>
  <c r="I99" i="45"/>
  <c r="K99" i="45" s="1"/>
  <c r="I109" i="45"/>
  <c r="K109" i="45" s="1"/>
  <c r="I112" i="45"/>
  <c r="K112" i="45" s="1"/>
  <c r="I117" i="45"/>
  <c r="K117" i="45" s="1"/>
  <c r="I106" i="45"/>
  <c r="K106" i="45" s="1"/>
  <c r="I104" i="45"/>
  <c r="K104" i="45" s="1"/>
  <c r="I114" i="45"/>
  <c r="K114" i="45" s="1"/>
  <c r="I102" i="45"/>
  <c r="K102" i="45" s="1"/>
  <c r="I100" i="45"/>
  <c r="K100" i="45" s="1"/>
  <c r="AB21" i="50"/>
  <c r="B29" i="39"/>
  <c r="M47" i="50"/>
  <c r="N47" i="50" s="1"/>
  <c r="L47" i="50"/>
  <c r="M45" i="50"/>
  <c r="N45" i="50" s="1"/>
  <c r="L45" i="50"/>
  <c r="M46" i="50"/>
  <c r="N46" i="50" s="1"/>
  <c r="L46" i="50"/>
  <c r="L11" i="50"/>
  <c r="M11" i="50"/>
  <c r="N11" i="50" s="1"/>
  <c r="L35" i="50"/>
  <c r="M35" i="50"/>
  <c r="N35" i="50" s="1"/>
  <c r="M26" i="50"/>
  <c r="N26" i="50" s="1"/>
  <c r="L26" i="50"/>
  <c r="L25" i="50"/>
  <c r="M25" i="50"/>
  <c r="N25" i="50" s="1"/>
  <c r="M12" i="50"/>
  <c r="N12" i="50" s="1"/>
  <c r="L12" i="50"/>
  <c r="M8" i="50"/>
  <c r="N8" i="50" s="1"/>
  <c r="L8" i="50"/>
  <c r="M5" i="50"/>
  <c r="N5" i="50" s="1"/>
  <c r="L5" i="50"/>
  <c r="L22" i="50"/>
  <c r="M22" i="50"/>
  <c r="N22" i="50" s="1"/>
  <c r="L19" i="50"/>
  <c r="M19" i="50"/>
  <c r="N19" i="50" s="1"/>
  <c r="M24" i="50"/>
  <c r="N24" i="50" s="1"/>
  <c r="L24" i="50"/>
  <c r="M23" i="50"/>
  <c r="N23" i="50" s="1"/>
  <c r="L23" i="50"/>
  <c r="M40" i="50"/>
  <c r="N40" i="50" s="1"/>
  <c r="L40" i="50"/>
  <c r="M36" i="50"/>
  <c r="N36" i="50" s="1"/>
  <c r="L36" i="50"/>
  <c r="L37" i="50"/>
  <c r="M37" i="50"/>
  <c r="N37" i="50" s="1"/>
  <c r="L7" i="50"/>
  <c r="M7" i="50"/>
  <c r="N7" i="50" s="1"/>
  <c r="M28" i="50"/>
  <c r="N28" i="50" s="1"/>
  <c r="L28" i="50"/>
  <c r="M41" i="50"/>
  <c r="N41" i="50" s="1"/>
  <c r="L41" i="50"/>
  <c r="L10" i="50"/>
  <c r="M10" i="50"/>
  <c r="N10" i="50" s="1"/>
  <c r="L6" i="50"/>
  <c r="M6" i="50"/>
  <c r="N6" i="50" s="1"/>
  <c r="M18" i="50"/>
  <c r="N18" i="50" s="1"/>
  <c r="L18" i="50"/>
  <c r="M17" i="50"/>
  <c r="N17" i="50" s="1"/>
  <c r="L17" i="50"/>
  <c r="M30" i="50"/>
  <c r="N30" i="50" s="1"/>
  <c r="L30" i="50"/>
  <c r="M32" i="50"/>
  <c r="N32" i="50" s="1"/>
  <c r="L32" i="50"/>
  <c r="L29" i="50"/>
  <c r="M29" i="50"/>
  <c r="N29" i="50" s="1"/>
  <c r="M44" i="50"/>
  <c r="N44" i="50" s="1"/>
  <c r="L44" i="50"/>
  <c r="L38" i="50"/>
  <c r="M38" i="50"/>
  <c r="N38" i="50" s="1"/>
  <c r="M27" i="50"/>
  <c r="N27" i="50" s="1"/>
  <c r="L27" i="50"/>
  <c r="M39" i="50"/>
  <c r="N39" i="50" s="1"/>
  <c r="L39" i="50"/>
  <c r="M9" i="50"/>
  <c r="N9" i="50" s="1"/>
  <c r="L9" i="50"/>
  <c r="M4" i="50"/>
  <c r="N4" i="50" s="1"/>
  <c r="L4" i="50"/>
  <c r="M21" i="50"/>
  <c r="N21" i="50" s="1"/>
  <c r="L21" i="50"/>
  <c r="M3" i="50"/>
  <c r="N3" i="50" s="1"/>
  <c r="L3" i="50"/>
  <c r="M20" i="50"/>
  <c r="N20" i="50" s="1"/>
  <c r="L20" i="50"/>
  <c r="M31" i="50"/>
  <c r="N31" i="50" s="1"/>
  <c r="L31" i="50"/>
  <c r="M34" i="50"/>
  <c r="N34" i="50" s="1"/>
  <c r="L34" i="50"/>
  <c r="M43" i="50"/>
  <c r="N43" i="50" s="1"/>
  <c r="L43" i="50"/>
  <c r="L33" i="50"/>
  <c r="M33" i="50"/>
  <c r="N33" i="50" s="1"/>
  <c r="L42" i="50"/>
  <c r="M42" i="50"/>
  <c r="N42" i="50" s="1"/>
  <c r="A50" i="47"/>
  <c r="A51" i="47" s="1"/>
  <c r="A52" i="47" s="1"/>
  <c r="E50" i="47"/>
  <c r="E51" i="47" s="1"/>
  <c r="F47" i="47"/>
  <c r="G46" i="47"/>
  <c r="D37" i="47"/>
  <c r="Q32" i="44"/>
  <c r="R32" i="44" s="1"/>
  <c r="P32" i="44"/>
  <c r="Q33" i="44"/>
  <c r="R33" i="44" s="1"/>
  <c r="P33" i="44"/>
  <c r="P34" i="44"/>
  <c r="Q34" i="44"/>
  <c r="R34" i="44" s="1"/>
  <c r="P29" i="44"/>
  <c r="Q29" i="44"/>
  <c r="R29" i="44" s="1"/>
  <c r="P20" i="44"/>
  <c r="Q20" i="44"/>
  <c r="R20" i="44" s="1"/>
  <c r="Q24" i="44"/>
  <c r="R24" i="44" s="1"/>
  <c r="P24" i="44"/>
  <c r="Q22" i="44"/>
  <c r="R22" i="44" s="1"/>
  <c r="P22" i="44"/>
  <c r="Q21" i="44"/>
  <c r="R21" i="44" s="1"/>
  <c r="P21" i="44"/>
  <c r="P31" i="44"/>
  <c r="Q31" i="44"/>
  <c r="R31" i="44" s="1"/>
  <c r="P23" i="44"/>
  <c r="Q23" i="44"/>
  <c r="R23" i="44" s="1"/>
  <c r="Q19" i="44"/>
  <c r="R19" i="44" s="1"/>
  <c r="P19" i="44"/>
  <c r="Q30" i="44"/>
  <c r="R30" i="44" s="1"/>
  <c r="P30" i="44"/>
  <c r="Q17" i="44"/>
  <c r="R17" i="44" s="1"/>
  <c r="P17" i="44"/>
  <c r="P25" i="44"/>
  <c r="Q25" i="44"/>
  <c r="R25" i="44" s="1"/>
  <c r="P4" i="44"/>
  <c r="Q4" i="44"/>
  <c r="R4" i="44" s="1"/>
  <c r="Q26" i="44"/>
  <c r="R26" i="44" s="1"/>
  <c r="P26" i="44"/>
  <c r="Q11" i="44"/>
  <c r="R11" i="44" s="1"/>
  <c r="P11" i="44"/>
  <c r="P12" i="44"/>
  <c r="Q12" i="44"/>
  <c r="R12" i="44" s="1"/>
  <c r="P27" i="44"/>
  <c r="Q27" i="44"/>
  <c r="R27" i="44" s="1"/>
  <c r="Q9" i="44"/>
  <c r="R9" i="44" s="1"/>
  <c r="P9" i="44"/>
  <c r="Q28" i="44"/>
  <c r="R28" i="44" s="1"/>
  <c r="P28" i="44"/>
  <c r="P7" i="44"/>
  <c r="Q7" i="44"/>
  <c r="R7" i="44" s="1"/>
  <c r="Q3" i="44"/>
  <c r="R3" i="44" s="1"/>
  <c r="P3" i="44"/>
  <c r="Q18" i="44"/>
  <c r="R18" i="44" s="1"/>
  <c r="P18" i="44"/>
  <c r="P6" i="44"/>
  <c r="Q6" i="44"/>
  <c r="R6" i="44" s="1"/>
  <c r="Q10" i="44"/>
  <c r="R10" i="44" s="1"/>
  <c r="P10" i="44"/>
  <c r="Q5" i="44"/>
  <c r="R5" i="44" s="1"/>
  <c r="P5" i="44"/>
  <c r="P8" i="44"/>
  <c r="Q8" i="44"/>
  <c r="R8" i="44" s="1"/>
  <c r="D33" i="38"/>
  <c r="S9" i="74" l="1"/>
  <c r="S12" i="74" s="1"/>
  <c r="C29" i="72"/>
  <c r="E29" i="72"/>
  <c r="C29" i="74"/>
  <c r="E29" i="74"/>
  <c r="S9" i="75"/>
  <c r="S12" i="75" s="1"/>
  <c r="C29" i="75"/>
  <c r="E29" i="75"/>
  <c r="K4" i="45"/>
  <c r="I5" i="45"/>
  <c r="S9" i="72"/>
  <c r="S12" i="72" s="1"/>
  <c r="K3" i="45"/>
  <c r="AB7" i="45" s="1"/>
  <c r="AB13" i="45"/>
  <c r="AB3" i="45"/>
  <c r="E29" i="39"/>
  <c r="C29" i="39"/>
  <c r="P47" i="50"/>
  <c r="Q47" i="50"/>
  <c r="R47" i="50" s="1"/>
  <c r="Q46" i="50"/>
  <c r="R46" i="50" s="1"/>
  <c r="P46" i="50"/>
  <c r="P45" i="50"/>
  <c r="Q45" i="50"/>
  <c r="R45" i="50" s="1"/>
  <c r="Q42" i="50"/>
  <c r="R42" i="50" s="1"/>
  <c r="P42" i="50"/>
  <c r="Q37" i="50"/>
  <c r="R37" i="50" s="1"/>
  <c r="P37" i="50"/>
  <c r="Q44" i="50"/>
  <c r="R44" i="50" s="1"/>
  <c r="P44" i="50"/>
  <c r="Q18" i="50"/>
  <c r="R18" i="50" s="1"/>
  <c r="P18" i="50"/>
  <c r="P24" i="50"/>
  <c r="Q24" i="50"/>
  <c r="R24" i="50" s="1"/>
  <c r="P31" i="50"/>
  <c r="Q31" i="50"/>
  <c r="R31" i="50" s="1"/>
  <c r="P19" i="50"/>
  <c r="Q19" i="50"/>
  <c r="R19" i="50" s="1"/>
  <c r="Q39" i="50"/>
  <c r="R39" i="50" s="1"/>
  <c r="P39" i="50"/>
  <c r="P38" i="50"/>
  <c r="Q38" i="50"/>
  <c r="R38" i="50" s="1"/>
  <c r="P26" i="50"/>
  <c r="Q26" i="50"/>
  <c r="R26" i="50" s="1"/>
  <c r="Q29" i="50"/>
  <c r="R29" i="50" s="1"/>
  <c r="P29" i="50"/>
  <c r="P20" i="50"/>
  <c r="Q20" i="50"/>
  <c r="R20" i="50" s="1"/>
  <c r="P30" i="50"/>
  <c r="Q30" i="50"/>
  <c r="R30" i="50" s="1"/>
  <c r="Q40" i="50"/>
  <c r="R40" i="50" s="1"/>
  <c r="P40" i="50"/>
  <c r="P22" i="50"/>
  <c r="Q22" i="50"/>
  <c r="R22" i="50" s="1"/>
  <c r="Q25" i="50"/>
  <c r="R25" i="50" s="1"/>
  <c r="P25" i="50"/>
  <c r="P43" i="50"/>
  <c r="Q43" i="50"/>
  <c r="R43" i="50" s="1"/>
  <c r="P34" i="50"/>
  <c r="Q34" i="50"/>
  <c r="R34" i="50" s="1"/>
  <c r="Q3" i="50"/>
  <c r="R3" i="50" s="1"/>
  <c r="P3" i="50"/>
  <c r="Q32" i="50"/>
  <c r="R32" i="50" s="1"/>
  <c r="P32" i="50"/>
  <c r="Q10" i="50"/>
  <c r="R10" i="50" s="1"/>
  <c r="P10" i="50"/>
  <c r="P7" i="50"/>
  <c r="Q7" i="50"/>
  <c r="R7" i="50" s="1"/>
  <c r="Q5" i="50"/>
  <c r="R5" i="50" s="1"/>
  <c r="P5" i="50"/>
  <c r="P12" i="50"/>
  <c r="Q12" i="50"/>
  <c r="R12" i="50" s="1"/>
  <c r="Q33" i="50"/>
  <c r="R33" i="50" s="1"/>
  <c r="P33" i="50"/>
  <c r="P4" i="50"/>
  <c r="Q4" i="50"/>
  <c r="R4" i="50" s="1"/>
  <c r="Q17" i="50"/>
  <c r="R17" i="50" s="1"/>
  <c r="P17" i="50"/>
  <c r="Q28" i="50"/>
  <c r="R28" i="50" s="1"/>
  <c r="P28" i="50"/>
  <c r="Q35" i="50"/>
  <c r="R35" i="50" s="1"/>
  <c r="P35" i="50"/>
  <c r="Q21" i="50"/>
  <c r="R21" i="50" s="1"/>
  <c r="P21" i="50"/>
  <c r="Q6" i="50"/>
  <c r="R6" i="50" s="1"/>
  <c r="P6" i="50"/>
  <c r="Q41" i="50"/>
  <c r="R41" i="50" s="1"/>
  <c r="P41" i="50"/>
  <c r="Q36" i="50"/>
  <c r="R36" i="50" s="1"/>
  <c r="P36" i="50"/>
  <c r="Q8" i="50"/>
  <c r="R8" i="50" s="1"/>
  <c r="P8" i="50"/>
  <c r="P11" i="50"/>
  <c r="Q11" i="50"/>
  <c r="R11" i="50" s="1"/>
  <c r="P27" i="50"/>
  <c r="Q27" i="50"/>
  <c r="R27" i="50" s="1"/>
  <c r="Q23" i="50"/>
  <c r="R23" i="50" s="1"/>
  <c r="P23" i="50"/>
  <c r="P9" i="50"/>
  <c r="Q9" i="50"/>
  <c r="R9" i="50" s="1"/>
  <c r="E52" i="47"/>
  <c r="A53" i="47"/>
  <c r="A54" i="47" s="1"/>
  <c r="A55" i="47" s="1"/>
  <c r="A56" i="47" s="1"/>
  <c r="A57" i="47" s="1"/>
  <c r="A58" i="47" s="1"/>
  <c r="A59" i="47" s="1"/>
  <c r="F48" i="47"/>
  <c r="F49" i="47" s="1"/>
  <c r="G47" i="47"/>
  <c r="D38" i="47"/>
  <c r="I42" i="46"/>
  <c r="K42" i="46" s="1"/>
  <c r="I38" i="46"/>
  <c r="K38" i="46" s="1"/>
  <c r="I32" i="46"/>
  <c r="K32" i="46" s="1"/>
  <c r="I33" i="46"/>
  <c r="K33" i="46" s="1"/>
  <c r="I34" i="46"/>
  <c r="K34" i="46" s="1"/>
  <c r="I40" i="46"/>
  <c r="K40" i="46" s="1"/>
  <c r="I36" i="46"/>
  <c r="K36" i="46" s="1"/>
  <c r="I39" i="46"/>
  <c r="K39" i="46" s="1"/>
  <c r="T34" i="44"/>
  <c r="S34" i="44"/>
  <c r="T33" i="44"/>
  <c r="S33" i="44"/>
  <c r="T32" i="44"/>
  <c r="S32" i="44"/>
  <c r="S30" i="44"/>
  <c r="T29" i="44"/>
  <c r="S26" i="44"/>
  <c r="T25" i="44"/>
  <c r="T31" i="44"/>
  <c r="S28" i="44"/>
  <c r="T27" i="44"/>
  <c r="S24" i="44"/>
  <c r="T23" i="44"/>
  <c r="S21" i="44"/>
  <c r="T20" i="44"/>
  <c r="S31" i="44"/>
  <c r="S29" i="44"/>
  <c r="T28" i="44"/>
  <c r="S23" i="44"/>
  <c r="S19" i="44"/>
  <c r="S18" i="44"/>
  <c r="S17" i="44"/>
  <c r="T12" i="44"/>
  <c r="S9" i="44"/>
  <c r="S27" i="44"/>
  <c r="T26" i="44"/>
  <c r="S20" i="44"/>
  <c r="S12" i="44"/>
  <c r="T11" i="44"/>
  <c r="S8" i="44"/>
  <c r="S25" i="44"/>
  <c r="T24" i="44"/>
  <c r="T22" i="44"/>
  <c r="T21" i="44"/>
  <c r="S11" i="44"/>
  <c r="T10" i="44"/>
  <c r="S7" i="44"/>
  <c r="T6" i="44"/>
  <c r="S4" i="44"/>
  <c r="T30" i="44"/>
  <c r="S22" i="44"/>
  <c r="U22" i="44" s="1"/>
  <c r="V22" i="44" s="1"/>
  <c r="W22" i="44" s="1"/>
  <c r="X22" i="44" s="1"/>
  <c r="T19" i="44"/>
  <c r="T18" i="44"/>
  <c r="T7" i="44"/>
  <c r="S5" i="44"/>
  <c r="T3" i="44"/>
  <c r="T17" i="44"/>
  <c r="T9" i="44"/>
  <c r="S6" i="44"/>
  <c r="S10" i="44"/>
  <c r="T5" i="44"/>
  <c r="T4" i="44"/>
  <c r="T8" i="44"/>
  <c r="S3" i="44"/>
  <c r="D34" i="38"/>
  <c r="D29" i="74" l="1"/>
  <c r="D32" i="74" s="1"/>
  <c r="D29" i="75"/>
  <c r="D32" i="75" s="1"/>
  <c r="D29" i="72"/>
  <c r="D32" i="72" s="1"/>
  <c r="H73" i="45"/>
  <c r="H72" i="45"/>
  <c r="H74" i="45"/>
  <c r="H75" i="45"/>
  <c r="H76" i="45"/>
  <c r="H77" i="45"/>
  <c r="H78" i="45"/>
  <c r="H79" i="45"/>
  <c r="H80" i="45"/>
  <c r="H81" i="45"/>
  <c r="H82" i="45"/>
  <c r="H83" i="45"/>
  <c r="H84" i="45"/>
  <c r="H85" i="45"/>
  <c r="H86" i="45"/>
  <c r="H87" i="45"/>
  <c r="H88" i="45"/>
  <c r="H89" i="45"/>
  <c r="H90" i="45"/>
  <c r="H91" i="45"/>
  <c r="H92" i="45"/>
  <c r="H93" i="45"/>
  <c r="H94" i="45"/>
  <c r="H49" i="45"/>
  <c r="H50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68" i="45"/>
  <c r="H69" i="45"/>
  <c r="H70" i="45"/>
  <c r="H71" i="45"/>
  <c r="H28" i="45"/>
  <c r="H29" i="45"/>
  <c r="H30" i="45"/>
  <c r="H31" i="45"/>
  <c r="H32" i="45"/>
  <c r="H33" i="45"/>
  <c r="H34" i="45"/>
  <c r="H35" i="45"/>
  <c r="H36" i="45"/>
  <c r="H37" i="45"/>
  <c r="H17" i="45"/>
  <c r="H18" i="45"/>
  <c r="H19" i="45"/>
  <c r="H20" i="45"/>
  <c r="H21" i="45"/>
  <c r="H22" i="45"/>
  <c r="H23" i="45"/>
  <c r="H24" i="45"/>
  <c r="H25" i="45"/>
  <c r="H26" i="45"/>
  <c r="H27" i="45"/>
  <c r="H12" i="45"/>
  <c r="H13" i="45"/>
  <c r="H14" i="45"/>
  <c r="H15" i="45"/>
  <c r="H16" i="45"/>
  <c r="H7" i="45"/>
  <c r="H39" i="45"/>
  <c r="H47" i="45"/>
  <c r="H4" i="45"/>
  <c r="H44" i="45"/>
  <c r="H9" i="45"/>
  <c r="H41" i="45"/>
  <c r="H6" i="45"/>
  <c r="H38" i="45"/>
  <c r="H46" i="45"/>
  <c r="H11" i="45"/>
  <c r="H43" i="45"/>
  <c r="H8" i="45"/>
  <c r="H40" i="45"/>
  <c r="H48" i="45"/>
  <c r="H10" i="45"/>
  <c r="H42" i="45"/>
  <c r="H5" i="45"/>
  <c r="H45" i="45"/>
  <c r="K5" i="45"/>
  <c r="I6" i="45"/>
  <c r="H3" i="45"/>
  <c r="U3" i="44"/>
  <c r="V3" i="44" s="1"/>
  <c r="W3" i="44" s="1"/>
  <c r="X3" i="44" s="1"/>
  <c r="H117" i="45"/>
  <c r="H105" i="45"/>
  <c r="H101" i="45"/>
  <c r="H116" i="45"/>
  <c r="H98" i="45"/>
  <c r="H109" i="45"/>
  <c r="H106" i="45"/>
  <c r="H118" i="45"/>
  <c r="H120" i="45"/>
  <c r="H112" i="45"/>
  <c r="H107" i="45"/>
  <c r="H113" i="45"/>
  <c r="H102" i="45"/>
  <c r="H110" i="45"/>
  <c r="H119" i="45"/>
  <c r="H104" i="45"/>
  <c r="H99" i="45"/>
  <c r="H115" i="45"/>
  <c r="H111" i="45"/>
  <c r="H103" i="45"/>
  <c r="H114" i="45"/>
  <c r="H100" i="45"/>
  <c r="H108" i="45"/>
  <c r="X4" i="75"/>
  <c r="V9" i="75" s="1"/>
  <c r="W9" i="75" s="1"/>
  <c r="U20" i="44"/>
  <c r="V20" i="44" s="1"/>
  <c r="W20" i="44" s="1"/>
  <c r="X20" i="44" s="1"/>
  <c r="Y20" i="44" s="1"/>
  <c r="D29" i="39"/>
  <c r="D32" i="39" s="1"/>
  <c r="T47" i="50"/>
  <c r="S47" i="50"/>
  <c r="S46" i="50"/>
  <c r="T45" i="50"/>
  <c r="S45" i="50"/>
  <c r="T46" i="50"/>
  <c r="S44" i="50"/>
  <c r="T43" i="50"/>
  <c r="S40" i="50"/>
  <c r="S43" i="50"/>
  <c r="T42" i="50"/>
  <c r="S39" i="50"/>
  <c r="T38" i="50"/>
  <c r="S35" i="50"/>
  <c r="T34" i="50"/>
  <c r="S42" i="50"/>
  <c r="T41" i="50"/>
  <c r="T39" i="50"/>
  <c r="T36" i="50"/>
  <c r="T33" i="50"/>
  <c r="S32" i="50"/>
  <c r="T31" i="50"/>
  <c r="S41" i="50"/>
  <c r="T40" i="50"/>
  <c r="T37" i="50"/>
  <c r="S36" i="50"/>
  <c r="S33" i="50"/>
  <c r="S31" i="50"/>
  <c r="T30" i="50"/>
  <c r="S27" i="50"/>
  <c r="T26" i="50"/>
  <c r="S23" i="50"/>
  <c r="T22" i="50"/>
  <c r="S20" i="50"/>
  <c r="T19" i="50"/>
  <c r="S12" i="50"/>
  <c r="T11" i="50"/>
  <c r="S37" i="50"/>
  <c r="S34" i="50"/>
  <c r="U34" i="50" s="1"/>
  <c r="V34" i="50" s="1"/>
  <c r="W34" i="50" s="1"/>
  <c r="X34" i="50" s="1"/>
  <c r="S29" i="50"/>
  <c r="S26" i="50"/>
  <c r="T23" i="50"/>
  <c r="T44" i="50"/>
  <c r="S30" i="50"/>
  <c r="T27" i="50"/>
  <c r="T24" i="50"/>
  <c r="T20" i="50"/>
  <c r="T17" i="50"/>
  <c r="T12" i="50"/>
  <c r="S8" i="50"/>
  <c r="T7" i="50"/>
  <c r="T4" i="50"/>
  <c r="T28" i="50"/>
  <c r="T25" i="50"/>
  <c r="S11" i="50"/>
  <c r="T8" i="50"/>
  <c r="T5" i="50"/>
  <c r="S4" i="50"/>
  <c r="T3" i="50"/>
  <c r="T35" i="50"/>
  <c r="S38" i="50"/>
  <c r="T32" i="50"/>
  <c r="S28" i="50"/>
  <c r="S25" i="50"/>
  <c r="S22" i="50"/>
  <c r="T18" i="50"/>
  <c r="T10" i="50"/>
  <c r="T9" i="50"/>
  <c r="T6" i="50"/>
  <c r="S5" i="50"/>
  <c r="S3" i="50"/>
  <c r="S24" i="50"/>
  <c r="T21" i="50"/>
  <c r="S19" i="50"/>
  <c r="S18" i="50"/>
  <c r="S10" i="50"/>
  <c r="S9" i="50"/>
  <c r="S6" i="50"/>
  <c r="T29" i="50"/>
  <c r="S21" i="50"/>
  <c r="S17" i="50"/>
  <c r="S7" i="50"/>
  <c r="V9" i="39"/>
  <c r="E53" i="47"/>
  <c r="E54" i="47" s="1"/>
  <c r="G49" i="47"/>
  <c r="F50" i="47"/>
  <c r="F51" i="47" s="1"/>
  <c r="G48" i="47"/>
  <c r="D39" i="47"/>
  <c r="I20" i="46"/>
  <c r="K20" i="46" s="1"/>
  <c r="I22" i="46"/>
  <c r="K22" i="46" s="1"/>
  <c r="I27" i="46"/>
  <c r="K27" i="46" s="1"/>
  <c r="I28" i="46"/>
  <c r="K28" i="46" s="1"/>
  <c r="I35" i="46"/>
  <c r="K35" i="46" s="1"/>
  <c r="I21" i="46"/>
  <c r="K21" i="46" s="1"/>
  <c r="I29" i="46"/>
  <c r="K29" i="46" s="1"/>
  <c r="I41" i="46"/>
  <c r="K41" i="46" s="1"/>
  <c r="I23" i="46"/>
  <c r="K23" i="46" s="1"/>
  <c r="I24" i="46"/>
  <c r="K24" i="46" s="1"/>
  <c r="I26" i="46"/>
  <c r="K26" i="46" s="1"/>
  <c r="I31" i="46"/>
  <c r="K31" i="46" s="1"/>
  <c r="I3" i="46"/>
  <c r="I18" i="46"/>
  <c r="K18" i="46" s="1"/>
  <c r="I19" i="46"/>
  <c r="K19" i="46" s="1"/>
  <c r="I25" i="46"/>
  <c r="K25" i="46" s="1"/>
  <c r="I30" i="46"/>
  <c r="K30" i="46" s="1"/>
  <c r="I17" i="46"/>
  <c r="K17" i="46" s="1"/>
  <c r="I37" i="46"/>
  <c r="K37" i="46" s="1"/>
  <c r="U6" i="44"/>
  <c r="V6" i="44" s="1"/>
  <c r="W6" i="44" s="1"/>
  <c r="X6" i="44" s="1"/>
  <c r="AA6" i="44" s="1"/>
  <c r="U27" i="44"/>
  <c r="V27" i="44" s="1"/>
  <c r="W27" i="44" s="1"/>
  <c r="X27" i="44" s="1"/>
  <c r="AA27" i="44" s="1"/>
  <c r="U12" i="44"/>
  <c r="V12" i="44" s="1"/>
  <c r="W12" i="44" s="1"/>
  <c r="X12" i="44" s="1"/>
  <c r="Z12" i="44" s="1"/>
  <c r="U19" i="44"/>
  <c r="V19" i="44" s="1"/>
  <c r="W19" i="44" s="1"/>
  <c r="X19" i="44" s="1"/>
  <c r="AA19" i="44" s="1"/>
  <c r="U31" i="44"/>
  <c r="V31" i="44" s="1"/>
  <c r="W31" i="44" s="1"/>
  <c r="X31" i="44" s="1"/>
  <c r="Y31" i="44" s="1"/>
  <c r="U32" i="44"/>
  <c r="V32" i="44" s="1"/>
  <c r="W32" i="44" s="1"/>
  <c r="X32" i="44" s="1"/>
  <c r="Z32" i="44" s="1"/>
  <c r="U11" i="44"/>
  <c r="V11" i="44" s="1"/>
  <c r="W11" i="44" s="1"/>
  <c r="X11" i="44" s="1"/>
  <c r="Y11" i="44" s="1"/>
  <c r="U23" i="44"/>
  <c r="V23" i="44" s="1"/>
  <c r="W23" i="44" s="1"/>
  <c r="X23" i="44" s="1"/>
  <c r="Y23" i="44" s="1"/>
  <c r="U34" i="44"/>
  <c r="V34" i="44" s="1"/>
  <c r="W34" i="44" s="1"/>
  <c r="X34" i="44" s="1"/>
  <c r="Y34" i="44" s="1"/>
  <c r="U29" i="44"/>
  <c r="V29" i="44" s="1"/>
  <c r="W29" i="44" s="1"/>
  <c r="X29" i="44" s="1"/>
  <c r="Y29" i="44" s="1"/>
  <c r="U25" i="44"/>
  <c r="V25" i="44" s="1"/>
  <c r="W25" i="44" s="1"/>
  <c r="X25" i="44" s="1"/>
  <c r="Z25" i="44" s="1"/>
  <c r="U33" i="44"/>
  <c r="V33" i="44" s="1"/>
  <c r="W33" i="44" s="1"/>
  <c r="X33" i="44" s="1"/>
  <c r="U24" i="44"/>
  <c r="V24" i="44" s="1"/>
  <c r="W24" i="44" s="1"/>
  <c r="X24" i="44" s="1"/>
  <c r="U4" i="44"/>
  <c r="V4" i="44" s="1"/>
  <c r="W4" i="44" s="1"/>
  <c r="X4" i="44" s="1"/>
  <c r="U26" i="44"/>
  <c r="V26" i="44" s="1"/>
  <c r="W26" i="44" s="1"/>
  <c r="X26" i="44" s="1"/>
  <c r="U9" i="44"/>
  <c r="V9" i="44" s="1"/>
  <c r="W9" i="44" s="1"/>
  <c r="X9" i="44" s="1"/>
  <c r="Y3" i="44"/>
  <c r="Z3" i="44"/>
  <c r="AA3" i="44"/>
  <c r="U10" i="44"/>
  <c r="V10" i="44" s="1"/>
  <c r="W10" i="44" s="1"/>
  <c r="X10" i="44" s="1"/>
  <c r="U8" i="44"/>
  <c r="V8" i="44" s="1"/>
  <c r="W8" i="44" s="1"/>
  <c r="X8" i="44" s="1"/>
  <c r="U17" i="44"/>
  <c r="V17" i="44" s="1"/>
  <c r="W17" i="44" s="1"/>
  <c r="X17" i="44" s="1"/>
  <c r="U21" i="44"/>
  <c r="V21" i="44" s="1"/>
  <c r="W21" i="44" s="1"/>
  <c r="X21" i="44" s="1"/>
  <c r="U28" i="44"/>
  <c r="V28" i="44" s="1"/>
  <c r="W28" i="44" s="1"/>
  <c r="X28" i="44" s="1"/>
  <c r="U5" i="44"/>
  <c r="V5" i="44" s="1"/>
  <c r="W5" i="44" s="1"/>
  <c r="X5" i="44" s="1"/>
  <c r="Y22" i="44"/>
  <c r="Z22" i="44"/>
  <c r="AA22" i="44"/>
  <c r="U7" i="44"/>
  <c r="V7" i="44" s="1"/>
  <c r="W7" i="44" s="1"/>
  <c r="X7" i="44" s="1"/>
  <c r="U18" i="44"/>
  <c r="V18" i="44" s="1"/>
  <c r="W18" i="44" s="1"/>
  <c r="X18" i="44" s="1"/>
  <c r="U30" i="44"/>
  <c r="V30" i="44" s="1"/>
  <c r="W30" i="44" s="1"/>
  <c r="X30" i="44" s="1"/>
  <c r="D35" i="38"/>
  <c r="I7" i="45" l="1"/>
  <c r="K6" i="45"/>
  <c r="B4" i="45"/>
  <c r="J4" i="45" s="1"/>
  <c r="AB98" i="45"/>
  <c r="J3" i="45"/>
  <c r="X7" i="75"/>
  <c r="X14" i="75"/>
  <c r="Y9" i="75"/>
  <c r="B98" i="45"/>
  <c r="B99" i="45" s="1"/>
  <c r="B100" i="45" s="1"/>
  <c r="B101" i="45" s="1"/>
  <c r="B102" i="45" s="1"/>
  <c r="B103" i="45" s="1"/>
  <c r="B104" i="45" s="1"/>
  <c r="B105" i="45" s="1"/>
  <c r="B106" i="45" s="1"/>
  <c r="B107" i="45" s="1"/>
  <c r="B108" i="45" s="1"/>
  <c r="B109" i="45" s="1"/>
  <c r="B110" i="45" s="1"/>
  <c r="B111" i="45" s="1"/>
  <c r="B112" i="45" s="1"/>
  <c r="B113" i="45" s="1"/>
  <c r="B114" i="45" s="1"/>
  <c r="B115" i="45" s="1"/>
  <c r="B116" i="45" s="1"/>
  <c r="B117" i="45" s="1"/>
  <c r="B118" i="45" s="1"/>
  <c r="B119" i="45" s="1"/>
  <c r="B120" i="45" s="1"/>
  <c r="J120" i="45" s="1"/>
  <c r="V9" i="74"/>
  <c r="V9" i="72"/>
  <c r="Y9" i="39"/>
  <c r="W9" i="39"/>
  <c r="U24" i="50"/>
  <c r="V24" i="50" s="1"/>
  <c r="W24" i="50" s="1"/>
  <c r="X24" i="50" s="1"/>
  <c r="Y24" i="50" s="1"/>
  <c r="Z20" i="44"/>
  <c r="AA20" i="44"/>
  <c r="Z6" i="44"/>
  <c r="U7" i="50"/>
  <c r="V7" i="50" s="1"/>
  <c r="W7" i="50" s="1"/>
  <c r="X7" i="50" s="1"/>
  <c r="Y7" i="50" s="1"/>
  <c r="U6" i="50"/>
  <c r="V6" i="50" s="1"/>
  <c r="W6" i="50" s="1"/>
  <c r="X6" i="50" s="1"/>
  <c r="Z6" i="50" s="1"/>
  <c r="U19" i="50"/>
  <c r="V19" i="50" s="1"/>
  <c r="W19" i="50" s="1"/>
  <c r="X19" i="50" s="1"/>
  <c r="AA19" i="50" s="1"/>
  <c r="I51" i="51"/>
  <c r="K51" i="51" s="1"/>
  <c r="I49" i="51"/>
  <c r="K49" i="51" s="1"/>
  <c r="I19" i="51"/>
  <c r="K19" i="51" s="1"/>
  <c r="I18" i="51"/>
  <c r="K18" i="51" s="1"/>
  <c r="I17" i="51"/>
  <c r="K17" i="51" s="1"/>
  <c r="I3" i="51"/>
  <c r="I22" i="51"/>
  <c r="K22" i="51" s="1"/>
  <c r="I20" i="51"/>
  <c r="K20" i="51" s="1"/>
  <c r="I21" i="51"/>
  <c r="K21" i="51" s="1"/>
  <c r="I23" i="51"/>
  <c r="K23" i="51" s="1"/>
  <c r="I24" i="51"/>
  <c r="K24" i="51" s="1"/>
  <c r="I26" i="51"/>
  <c r="K26" i="51" s="1"/>
  <c r="I25" i="51"/>
  <c r="K25" i="51" s="1"/>
  <c r="I28" i="51"/>
  <c r="K28" i="51" s="1"/>
  <c r="I27" i="51"/>
  <c r="K27" i="51" s="1"/>
  <c r="I30" i="51"/>
  <c r="K30" i="51" s="1"/>
  <c r="I29" i="51"/>
  <c r="K29" i="51" s="1"/>
  <c r="I31" i="51"/>
  <c r="K31" i="51" s="1"/>
  <c r="I32" i="51"/>
  <c r="K32" i="51" s="1"/>
  <c r="I33" i="51"/>
  <c r="K33" i="51" s="1"/>
  <c r="I34" i="51"/>
  <c r="K34" i="51" s="1"/>
  <c r="I35" i="51"/>
  <c r="K35" i="51" s="1"/>
  <c r="I36" i="51"/>
  <c r="K36" i="51" s="1"/>
  <c r="I37" i="51"/>
  <c r="K37" i="51" s="1"/>
  <c r="I38" i="51"/>
  <c r="K38" i="51" s="1"/>
  <c r="I39" i="51"/>
  <c r="K39" i="51" s="1"/>
  <c r="I40" i="51"/>
  <c r="K40" i="51" s="1"/>
  <c r="I41" i="51"/>
  <c r="K41" i="51" s="1"/>
  <c r="I44" i="51"/>
  <c r="K44" i="51" s="1"/>
  <c r="I42" i="51"/>
  <c r="K42" i="51" s="1"/>
  <c r="I46" i="51"/>
  <c r="K46" i="51" s="1"/>
  <c r="U5" i="50"/>
  <c r="V5" i="50" s="1"/>
  <c r="W5" i="50" s="1"/>
  <c r="X5" i="50" s="1"/>
  <c r="AA5" i="50" s="1"/>
  <c r="U31" i="50"/>
  <c r="V31" i="50" s="1"/>
  <c r="W31" i="50" s="1"/>
  <c r="X31" i="50" s="1"/>
  <c r="AA31" i="50" s="1"/>
  <c r="U9" i="50"/>
  <c r="V9" i="50" s="1"/>
  <c r="W9" i="50" s="1"/>
  <c r="X9" i="50" s="1"/>
  <c r="Y9" i="50" s="1"/>
  <c r="U46" i="50"/>
  <c r="V46" i="50" s="1"/>
  <c r="W46" i="50" s="1"/>
  <c r="X46" i="50" s="1"/>
  <c r="AA46" i="50" s="1"/>
  <c r="U28" i="50"/>
  <c r="V28" i="50" s="1"/>
  <c r="W28" i="50" s="1"/>
  <c r="X28" i="50" s="1"/>
  <c r="Z28" i="50" s="1"/>
  <c r="U33" i="50"/>
  <c r="V33" i="50" s="1"/>
  <c r="W33" i="50" s="1"/>
  <c r="X33" i="50" s="1"/>
  <c r="AA33" i="50" s="1"/>
  <c r="U43" i="50"/>
  <c r="V43" i="50" s="1"/>
  <c r="W43" i="50" s="1"/>
  <c r="X43" i="50" s="1"/>
  <c r="AA43" i="50" s="1"/>
  <c r="U17" i="50"/>
  <c r="V17" i="50" s="1"/>
  <c r="W17" i="50" s="1"/>
  <c r="X17" i="50" s="1"/>
  <c r="AA17" i="50" s="1"/>
  <c r="U18" i="50"/>
  <c r="V18" i="50" s="1"/>
  <c r="W18" i="50" s="1"/>
  <c r="X18" i="50" s="1"/>
  <c r="Y18" i="50" s="1"/>
  <c r="U3" i="50"/>
  <c r="V3" i="50" s="1"/>
  <c r="W3" i="50" s="1"/>
  <c r="X3" i="50" s="1"/>
  <c r="AA3" i="50" s="1"/>
  <c r="U26" i="50"/>
  <c r="V26" i="50" s="1"/>
  <c r="W26" i="50" s="1"/>
  <c r="X26" i="50" s="1"/>
  <c r="Y26" i="50" s="1"/>
  <c r="U32" i="50"/>
  <c r="V32" i="50" s="1"/>
  <c r="W32" i="50" s="1"/>
  <c r="X32" i="50" s="1"/>
  <c r="Z32" i="50" s="1"/>
  <c r="U40" i="50"/>
  <c r="V40" i="50" s="1"/>
  <c r="W40" i="50" s="1"/>
  <c r="X40" i="50" s="1"/>
  <c r="AA40" i="50" s="1"/>
  <c r="U45" i="50"/>
  <c r="V45" i="50" s="1"/>
  <c r="W45" i="50" s="1"/>
  <c r="X45" i="50" s="1"/>
  <c r="Z45" i="50" s="1"/>
  <c r="U47" i="50"/>
  <c r="V47" i="50" s="1"/>
  <c r="W47" i="50" s="1"/>
  <c r="X47" i="50" s="1"/>
  <c r="AA47" i="50" s="1"/>
  <c r="U21" i="50"/>
  <c r="V21" i="50" s="1"/>
  <c r="W21" i="50" s="1"/>
  <c r="X21" i="50" s="1"/>
  <c r="Z21" i="50" s="1"/>
  <c r="U25" i="50"/>
  <c r="V25" i="50" s="1"/>
  <c r="W25" i="50" s="1"/>
  <c r="X25" i="50" s="1"/>
  <c r="AA25" i="50" s="1"/>
  <c r="U36" i="50"/>
  <c r="V36" i="50" s="1"/>
  <c r="W36" i="50" s="1"/>
  <c r="X36" i="50" s="1"/>
  <c r="AA36" i="50" s="1"/>
  <c r="U42" i="50"/>
  <c r="V42" i="50" s="1"/>
  <c r="W42" i="50" s="1"/>
  <c r="X42" i="50" s="1"/>
  <c r="Z42" i="50" s="1"/>
  <c r="U10" i="50"/>
  <c r="V10" i="50" s="1"/>
  <c r="W10" i="50" s="1"/>
  <c r="X10" i="50" s="1"/>
  <c r="U8" i="50"/>
  <c r="V8" i="50" s="1"/>
  <c r="W8" i="50" s="1"/>
  <c r="X8" i="50" s="1"/>
  <c r="U37" i="50"/>
  <c r="V37" i="50" s="1"/>
  <c r="W37" i="50" s="1"/>
  <c r="X37" i="50" s="1"/>
  <c r="U20" i="50"/>
  <c r="V20" i="50" s="1"/>
  <c r="W20" i="50" s="1"/>
  <c r="X20" i="50" s="1"/>
  <c r="U27" i="50"/>
  <c r="V27" i="50" s="1"/>
  <c r="W27" i="50" s="1"/>
  <c r="X27" i="50" s="1"/>
  <c r="U35" i="50"/>
  <c r="V35" i="50" s="1"/>
  <c r="W35" i="50" s="1"/>
  <c r="X35" i="50" s="1"/>
  <c r="U11" i="50"/>
  <c r="V11" i="50" s="1"/>
  <c r="W11" i="50" s="1"/>
  <c r="X11" i="50" s="1"/>
  <c r="U30" i="50"/>
  <c r="V30" i="50" s="1"/>
  <c r="W30" i="50" s="1"/>
  <c r="X30" i="50" s="1"/>
  <c r="U29" i="50"/>
  <c r="V29" i="50" s="1"/>
  <c r="W29" i="50" s="1"/>
  <c r="X29" i="50" s="1"/>
  <c r="U12" i="50"/>
  <c r="V12" i="50" s="1"/>
  <c r="W12" i="50" s="1"/>
  <c r="X12" i="50" s="1"/>
  <c r="U23" i="50"/>
  <c r="V23" i="50" s="1"/>
  <c r="W23" i="50" s="1"/>
  <c r="X23" i="50" s="1"/>
  <c r="U39" i="50"/>
  <c r="V39" i="50" s="1"/>
  <c r="W39" i="50" s="1"/>
  <c r="X39" i="50" s="1"/>
  <c r="U22" i="50"/>
  <c r="V22" i="50" s="1"/>
  <c r="W22" i="50" s="1"/>
  <c r="X22" i="50" s="1"/>
  <c r="U38" i="50"/>
  <c r="V38" i="50" s="1"/>
  <c r="W38" i="50" s="1"/>
  <c r="X38" i="50" s="1"/>
  <c r="U4" i="50"/>
  <c r="V4" i="50" s="1"/>
  <c r="W4" i="50" s="1"/>
  <c r="X4" i="50" s="1"/>
  <c r="Z34" i="50"/>
  <c r="Y34" i="50"/>
  <c r="AA34" i="50"/>
  <c r="U41" i="50"/>
  <c r="V41" i="50" s="1"/>
  <c r="W41" i="50" s="1"/>
  <c r="X41" i="50" s="1"/>
  <c r="U44" i="50"/>
  <c r="V44" i="50" s="1"/>
  <c r="W44" i="50" s="1"/>
  <c r="X44" i="50" s="1"/>
  <c r="Y6" i="44"/>
  <c r="E55" i="47"/>
  <c r="F52" i="47"/>
  <c r="G51" i="47"/>
  <c r="G50" i="47"/>
  <c r="D40" i="47"/>
  <c r="AB3" i="46"/>
  <c r="K3" i="46"/>
  <c r="K4" i="46" s="1"/>
  <c r="K5" i="46" s="1"/>
  <c r="K6" i="46" s="1"/>
  <c r="K7" i="46" s="1"/>
  <c r="K8" i="46" s="1"/>
  <c r="K9" i="46" s="1"/>
  <c r="K10" i="46" s="1"/>
  <c r="K11" i="46" s="1"/>
  <c r="K12" i="46" s="1"/>
  <c r="AB4" i="46"/>
  <c r="I4" i="46"/>
  <c r="I5" i="46" s="1"/>
  <c r="I6" i="46" s="1"/>
  <c r="I7" i="46" s="1"/>
  <c r="I8" i="46" s="1"/>
  <c r="I9" i="46" s="1"/>
  <c r="I10" i="46" s="1"/>
  <c r="I11" i="46" s="1"/>
  <c r="I12" i="46" s="1"/>
  <c r="AA29" i="44"/>
  <c r="Z27" i="44"/>
  <c r="AA23" i="44"/>
  <c r="Y27" i="44"/>
  <c r="Y12" i="44"/>
  <c r="AA12" i="44"/>
  <c r="AA11" i="44"/>
  <c r="Z29" i="44"/>
  <c r="AA31" i="44"/>
  <c r="AA32" i="44"/>
  <c r="Z19" i="44"/>
  <c r="Z23" i="44"/>
  <c r="Y19" i="44"/>
  <c r="Z11" i="44"/>
  <c r="Y32" i="44"/>
  <c r="Z31" i="44"/>
  <c r="Z34" i="44"/>
  <c r="AA34" i="44"/>
  <c r="Y33" i="44"/>
  <c r="Z33" i="44"/>
  <c r="AA33" i="44"/>
  <c r="AA25" i="44"/>
  <c r="Y25" i="44"/>
  <c r="Z18" i="44"/>
  <c r="Y18" i="44"/>
  <c r="AA18" i="44"/>
  <c r="Y28" i="44"/>
  <c r="Z28" i="44"/>
  <c r="AA28" i="44"/>
  <c r="Z21" i="44"/>
  <c r="Y21" i="44"/>
  <c r="AA21" i="44"/>
  <c r="Z4" i="44"/>
  <c r="Y4" i="44"/>
  <c r="AA4" i="44"/>
  <c r="Y5" i="44"/>
  <c r="Z5" i="44"/>
  <c r="AA5" i="44"/>
  <c r="Z9" i="44"/>
  <c r="Y9" i="44"/>
  <c r="AA9" i="44"/>
  <c r="Z17" i="44"/>
  <c r="Y17" i="44"/>
  <c r="AA17" i="44"/>
  <c r="Y24" i="44"/>
  <c r="Z24" i="44"/>
  <c r="AA24" i="44"/>
  <c r="Y7" i="44"/>
  <c r="Z7" i="44"/>
  <c r="AA7" i="44"/>
  <c r="Y26" i="44"/>
  <c r="Z26" i="44"/>
  <c r="AA26" i="44"/>
  <c r="Z8" i="44"/>
  <c r="Y8" i="44"/>
  <c r="AA8" i="44"/>
  <c r="Y30" i="44"/>
  <c r="Z30" i="44"/>
  <c r="AA30" i="44"/>
  <c r="Z10" i="44"/>
  <c r="Y10" i="44"/>
  <c r="AA10" i="44"/>
  <c r="I18" i="43"/>
  <c r="K18" i="43" s="1"/>
  <c r="I17" i="43"/>
  <c r="K17" i="43" s="1"/>
  <c r="I19" i="43"/>
  <c r="K19" i="43" s="1"/>
  <c r="I3" i="43"/>
  <c r="I20" i="43"/>
  <c r="K20" i="43" s="1"/>
  <c r="I22" i="43"/>
  <c r="K22" i="43" s="1"/>
  <c r="I23" i="43"/>
  <c r="K23" i="43" s="1"/>
  <c r="I26" i="43"/>
  <c r="K26" i="43" s="1"/>
  <c r="I24" i="43"/>
  <c r="K24" i="43" s="1"/>
  <c r="I27" i="43"/>
  <c r="K27" i="43" s="1"/>
  <c r="I25" i="43"/>
  <c r="K25" i="43" s="1"/>
  <c r="I28" i="43"/>
  <c r="K28" i="43" s="1"/>
  <c r="I29" i="43"/>
  <c r="K29" i="43" s="1"/>
  <c r="I30" i="43"/>
  <c r="K30" i="43" s="1"/>
  <c r="D36" i="38"/>
  <c r="L3" i="45" l="1"/>
  <c r="M3" i="45"/>
  <c r="N3" i="45" s="1"/>
  <c r="L4" i="45"/>
  <c r="M4" i="45"/>
  <c r="N4" i="45" s="1"/>
  <c r="K7" i="45"/>
  <c r="I8" i="45"/>
  <c r="B5" i="45"/>
  <c r="J5" i="45" s="1"/>
  <c r="X9" i="75"/>
  <c r="X12" i="75" s="1"/>
  <c r="X8" i="75"/>
  <c r="X10" i="75"/>
  <c r="J98" i="45"/>
  <c r="M98" i="45" s="1"/>
  <c r="N98" i="45" s="1"/>
  <c r="J111" i="45"/>
  <c r="M111" i="45" s="1"/>
  <c r="N111" i="45" s="1"/>
  <c r="J112" i="45"/>
  <c r="M112" i="45" s="1"/>
  <c r="N112" i="45" s="1"/>
  <c r="J103" i="45"/>
  <c r="M103" i="45" s="1"/>
  <c r="N103" i="45" s="1"/>
  <c r="J109" i="45"/>
  <c r="L109" i="45" s="1"/>
  <c r="J108" i="45"/>
  <c r="M108" i="45" s="1"/>
  <c r="N108" i="45" s="1"/>
  <c r="L120" i="45"/>
  <c r="M120" i="45"/>
  <c r="N120" i="45" s="1"/>
  <c r="J107" i="45"/>
  <c r="J118" i="45"/>
  <c r="J99" i="45"/>
  <c r="J102" i="45"/>
  <c r="J110" i="45"/>
  <c r="J105" i="45"/>
  <c r="J101" i="45"/>
  <c r="J119" i="45"/>
  <c r="J104" i="45"/>
  <c r="J114" i="45"/>
  <c r="J113" i="45"/>
  <c r="J115" i="45"/>
  <c r="J117" i="45"/>
  <c r="J116" i="45"/>
  <c r="J106" i="45"/>
  <c r="J100" i="45"/>
  <c r="W9" i="72"/>
  <c r="Y9" i="72"/>
  <c r="W9" i="74"/>
  <c r="Y9" i="74"/>
  <c r="X9" i="39"/>
  <c r="X12" i="39" s="1"/>
  <c r="Z24" i="50"/>
  <c r="Z9" i="50"/>
  <c r="AA24" i="50"/>
  <c r="Z7" i="50"/>
  <c r="AA6" i="50"/>
  <c r="Z18" i="50"/>
  <c r="Y40" i="50"/>
  <c r="AA9" i="50"/>
  <c r="Z40" i="50"/>
  <c r="AA7" i="50"/>
  <c r="AA18" i="50"/>
  <c r="Y31" i="50"/>
  <c r="Y25" i="50"/>
  <c r="Y28" i="50"/>
  <c r="Y21" i="50"/>
  <c r="Y47" i="50"/>
  <c r="Z5" i="50"/>
  <c r="Y5" i="50"/>
  <c r="Y19" i="50"/>
  <c r="Z26" i="50"/>
  <c r="Y3" i="50"/>
  <c r="Z19" i="50"/>
  <c r="Y6" i="50"/>
  <c r="AA26" i="50"/>
  <c r="Y46" i="50"/>
  <c r="Z36" i="50"/>
  <c r="AA45" i="50"/>
  <c r="Z33" i="50"/>
  <c r="Z43" i="50"/>
  <c r="I52" i="51"/>
  <c r="K52" i="51" s="1"/>
  <c r="I50" i="51"/>
  <c r="K50" i="51" s="1"/>
  <c r="I43" i="51"/>
  <c r="K43" i="51" s="1"/>
  <c r="I48" i="51"/>
  <c r="K48" i="51" s="1"/>
  <c r="I45" i="51"/>
  <c r="K45" i="51" s="1"/>
  <c r="I47" i="51"/>
  <c r="K47" i="51" s="1"/>
  <c r="AB4" i="51"/>
  <c r="AB3" i="51"/>
  <c r="I4" i="51"/>
  <c r="I5" i="51" s="1"/>
  <c r="I6" i="51" s="1"/>
  <c r="I7" i="51" s="1"/>
  <c r="I8" i="51" s="1"/>
  <c r="I9" i="51" s="1"/>
  <c r="I10" i="51" s="1"/>
  <c r="I11" i="51" s="1"/>
  <c r="I12" i="51" s="1"/>
  <c r="K3" i="51"/>
  <c r="K4" i="51" s="1"/>
  <c r="K5" i="51" s="1"/>
  <c r="K6" i="51" s="1"/>
  <c r="K7" i="51" s="1"/>
  <c r="K8" i="51" s="1"/>
  <c r="K9" i="51" s="1"/>
  <c r="K10" i="51" s="1"/>
  <c r="K11" i="51" s="1"/>
  <c r="K12" i="51" s="1"/>
  <c r="Y33" i="50"/>
  <c r="Z3" i="50"/>
  <c r="Z31" i="50"/>
  <c r="AA28" i="50"/>
  <c r="AA21" i="50"/>
  <c r="Z46" i="50"/>
  <c r="Y17" i="50"/>
  <c r="AA32" i="50"/>
  <c r="Y45" i="50"/>
  <c r="Z17" i="50"/>
  <c r="AA42" i="50"/>
  <c r="Z47" i="50"/>
  <c r="Y42" i="50"/>
  <c r="Y43" i="50"/>
  <c r="Y36" i="50"/>
  <c r="Z25" i="50"/>
  <c r="Y32" i="50"/>
  <c r="Z11" i="50"/>
  <c r="Y11" i="50"/>
  <c r="AA11" i="50"/>
  <c r="Z41" i="50"/>
  <c r="Y41" i="50"/>
  <c r="AA41" i="50"/>
  <c r="Z38" i="50"/>
  <c r="Y38" i="50"/>
  <c r="AA38" i="50"/>
  <c r="Y30" i="50"/>
  <c r="Z30" i="50"/>
  <c r="AA30" i="50"/>
  <c r="Z20" i="50"/>
  <c r="Y20" i="50"/>
  <c r="AA20" i="50"/>
  <c r="Y23" i="50"/>
  <c r="Z23" i="50"/>
  <c r="AA23" i="50"/>
  <c r="Y39" i="50"/>
  <c r="Z39" i="50"/>
  <c r="AA39" i="50"/>
  <c r="Y12" i="50"/>
  <c r="Z12" i="50"/>
  <c r="AA12" i="50"/>
  <c r="Y8" i="50"/>
  <c r="Z8" i="50"/>
  <c r="AA8" i="50"/>
  <c r="Y10" i="50"/>
  <c r="Z10" i="50"/>
  <c r="AA10" i="50"/>
  <c r="Z22" i="50"/>
  <c r="Y22" i="50"/>
  <c r="AA22" i="50"/>
  <c r="Y37" i="50"/>
  <c r="Z37" i="50"/>
  <c r="AA37" i="50"/>
  <c r="Z44" i="50"/>
  <c r="Y44" i="50"/>
  <c r="AA44" i="50"/>
  <c r="Y4" i="50"/>
  <c r="Z4" i="50"/>
  <c r="AA4" i="50"/>
  <c r="Y29" i="50"/>
  <c r="Z29" i="50"/>
  <c r="AA29" i="50"/>
  <c r="Z35" i="50"/>
  <c r="Y35" i="50"/>
  <c r="AA35" i="50"/>
  <c r="Z27" i="50"/>
  <c r="Y27" i="50"/>
  <c r="AA27" i="50"/>
  <c r="E56" i="47"/>
  <c r="G52" i="47"/>
  <c r="F53" i="47"/>
  <c r="F54" i="47" s="1"/>
  <c r="D41" i="47"/>
  <c r="H41" i="46"/>
  <c r="H42" i="46"/>
  <c r="H32" i="46"/>
  <c r="H31" i="46"/>
  <c r="H23" i="46"/>
  <c r="H29" i="46"/>
  <c r="H24" i="46"/>
  <c r="H21" i="46"/>
  <c r="H8" i="46"/>
  <c r="H12" i="46"/>
  <c r="H36" i="46"/>
  <c r="H35" i="46"/>
  <c r="H33" i="46"/>
  <c r="H26" i="46"/>
  <c r="H19" i="46"/>
  <c r="H22" i="46"/>
  <c r="H7" i="46"/>
  <c r="H39" i="46"/>
  <c r="H28" i="46"/>
  <c r="H27" i="46"/>
  <c r="H20" i="46"/>
  <c r="H25" i="46"/>
  <c r="H18" i="46"/>
  <c r="H3" i="46"/>
  <c r="H5" i="46"/>
  <c r="H9" i="46"/>
  <c r="H11" i="46"/>
  <c r="H40" i="46"/>
  <c r="H38" i="46"/>
  <c r="H30" i="46"/>
  <c r="H37" i="46"/>
  <c r="H17" i="46"/>
  <c r="H34" i="46"/>
  <c r="H4" i="46"/>
  <c r="H10" i="46"/>
  <c r="H6" i="46"/>
  <c r="AA60" i="44"/>
  <c r="AA61" i="44" s="1"/>
  <c r="Y60" i="44"/>
  <c r="Y61" i="44" s="1"/>
  <c r="Z60" i="44"/>
  <c r="Z61" i="44" s="1"/>
  <c r="AB4" i="43"/>
  <c r="K3" i="43"/>
  <c r="K4" i="43" s="1"/>
  <c r="K5" i="43" s="1"/>
  <c r="K6" i="43" s="1"/>
  <c r="K7" i="43" s="1"/>
  <c r="K8" i="43" s="1"/>
  <c r="K9" i="43" s="1"/>
  <c r="K10" i="43" s="1"/>
  <c r="K11" i="43" s="1"/>
  <c r="K12" i="43" s="1"/>
  <c r="I4" i="43"/>
  <c r="I5" i="43" s="1"/>
  <c r="I6" i="43" s="1"/>
  <c r="I7" i="43" s="1"/>
  <c r="I8" i="43" s="1"/>
  <c r="I9" i="43" s="1"/>
  <c r="I10" i="43" s="1"/>
  <c r="I11" i="43" s="1"/>
  <c r="I12" i="43" s="1"/>
  <c r="AB3" i="43"/>
  <c r="D37" i="38"/>
  <c r="M5" i="45" l="1"/>
  <c r="N5" i="45" s="1"/>
  <c r="L5" i="45"/>
  <c r="P4" i="45"/>
  <c r="Q4" i="45"/>
  <c r="R4" i="45" s="1"/>
  <c r="P3" i="45"/>
  <c r="Q3" i="45"/>
  <c r="R3" i="45" s="1"/>
  <c r="K8" i="45"/>
  <c r="I9" i="45"/>
  <c r="B6" i="45"/>
  <c r="J6" i="45" s="1"/>
  <c r="L111" i="45"/>
  <c r="L98" i="45"/>
  <c r="L112" i="45"/>
  <c r="L103" i="45"/>
  <c r="M109" i="45"/>
  <c r="N109" i="45" s="1"/>
  <c r="P109" i="45" s="1"/>
  <c r="L108" i="45"/>
  <c r="S2" i="39"/>
  <c r="S2" i="75"/>
  <c r="S3" i="75" s="1"/>
  <c r="S15" i="75" s="1"/>
  <c r="S16" i="75" s="1"/>
  <c r="S2" i="74"/>
  <c r="S3" i="74" s="1"/>
  <c r="S15" i="74" s="1"/>
  <c r="S16" i="74" s="1"/>
  <c r="S2" i="72"/>
  <c r="S3" i="72" s="1"/>
  <c r="S15" i="72" s="1"/>
  <c r="S16" i="72" s="1"/>
  <c r="M110" i="45"/>
  <c r="N110" i="45" s="1"/>
  <c r="L110" i="45"/>
  <c r="Q112" i="45"/>
  <c r="P112" i="45"/>
  <c r="M104" i="45"/>
  <c r="N104" i="45" s="1"/>
  <c r="L104" i="45"/>
  <c r="L119" i="45"/>
  <c r="M119" i="45"/>
  <c r="N119" i="45" s="1"/>
  <c r="M102" i="45"/>
  <c r="N102" i="45" s="1"/>
  <c r="L102" i="45"/>
  <c r="M113" i="45"/>
  <c r="N113" i="45" s="1"/>
  <c r="L113" i="45"/>
  <c r="L101" i="45"/>
  <c r="M101" i="45"/>
  <c r="N101" i="45" s="1"/>
  <c r="M99" i="45"/>
  <c r="N99" i="45" s="1"/>
  <c r="L99" i="45"/>
  <c r="L118" i="45"/>
  <c r="M118" i="45"/>
  <c r="N118" i="45" s="1"/>
  <c r="L116" i="45"/>
  <c r="M116" i="45"/>
  <c r="N116" i="45" s="1"/>
  <c r="L114" i="45"/>
  <c r="M114" i="45"/>
  <c r="N114" i="45" s="1"/>
  <c r="Q108" i="45"/>
  <c r="P108" i="45"/>
  <c r="L105" i="45"/>
  <c r="M105" i="45"/>
  <c r="N105" i="45" s="1"/>
  <c r="M107" i="45"/>
  <c r="N107" i="45" s="1"/>
  <c r="L107" i="45"/>
  <c r="Q103" i="45"/>
  <c r="P103" i="45"/>
  <c r="M106" i="45"/>
  <c r="N106" i="45" s="1"/>
  <c r="L106" i="45"/>
  <c r="Q111" i="45"/>
  <c r="P111" i="45"/>
  <c r="M100" i="45"/>
  <c r="N100" i="45" s="1"/>
  <c r="L100" i="45"/>
  <c r="M117" i="45"/>
  <c r="N117" i="45" s="1"/>
  <c r="L117" i="45"/>
  <c r="P98" i="45"/>
  <c r="Q98" i="45"/>
  <c r="L115" i="45"/>
  <c r="M115" i="45"/>
  <c r="N115" i="45" s="1"/>
  <c r="P120" i="45"/>
  <c r="Q120" i="45"/>
  <c r="R120" i="45" s="1"/>
  <c r="X9" i="72"/>
  <c r="X12" i="72" s="1"/>
  <c r="X3" i="75"/>
  <c r="X9" i="74"/>
  <c r="X12" i="74" s="1"/>
  <c r="J3" i="46"/>
  <c r="L3" i="46" s="1"/>
  <c r="B17" i="46"/>
  <c r="B18" i="46" s="1"/>
  <c r="B19" i="46" s="1"/>
  <c r="B20" i="46" s="1"/>
  <c r="B21" i="46" s="1"/>
  <c r="B22" i="46" s="1"/>
  <c r="B23" i="46" s="1"/>
  <c r="B24" i="46" s="1"/>
  <c r="B25" i="46" s="1"/>
  <c r="B26" i="46" s="1"/>
  <c r="B27" i="46" s="1"/>
  <c r="B28" i="46" s="1"/>
  <c r="B29" i="46" s="1"/>
  <c r="B30" i="46" s="1"/>
  <c r="B31" i="46" s="1"/>
  <c r="B32" i="46" s="1"/>
  <c r="B33" i="46" s="1"/>
  <c r="B34" i="46" s="1"/>
  <c r="B35" i="46" s="1"/>
  <c r="B36" i="46" s="1"/>
  <c r="B37" i="46" s="1"/>
  <c r="B38" i="46" s="1"/>
  <c r="B39" i="46" s="1"/>
  <c r="B40" i="46" s="1"/>
  <c r="B41" i="46" s="1"/>
  <c r="B42" i="46" s="1"/>
  <c r="J42" i="46" s="1"/>
  <c r="B4" i="46"/>
  <c r="B5" i="46" s="1"/>
  <c r="B6" i="46" s="1"/>
  <c r="B7" i="46" s="1"/>
  <c r="B8" i="46" s="1"/>
  <c r="B9" i="46" s="1"/>
  <c r="B10" i="46" s="1"/>
  <c r="B11" i="46" s="1"/>
  <c r="B12" i="46" s="1"/>
  <c r="J12" i="46" s="1"/>
  <c r="B9" i="74"/>
  <c r="AA9" i="74"/>
  <c r="AA9" i="72"/>
  <c r="AA9" i="39"/>
  <c r="H21" i="43"/>
  <c r="J21" i="43" s="1"/>
  <c r="L21" i="43" s="1"/>
  <c r="H50" i="51"/>
  <c r="J50" i="51" s="1"/>
  <c r="H52" i="51"/>
  <c r="J52" i="51" s="1"/>
  <c r="H49" i="51"/>
  <c r="J49" i="51" s="1"/>
  <c r="H51" i="51"/>
  <c r="J51" i="51" s="1"/>
  <c r="H48" i="51"/>
  <c r="J48" i="51" s="1"/>
  <c r="H47" i="51"/>
  <c r="J47" i="51" s="1"/>
  <c r="H43" i="51"/>
  <c r="J43" i="51" s="1"/>
  <c r="H39" i="51"/>
  <c r="J39" i="51" s="1"/>
  <c r="H44" i="51"/>
  <c r="J44" i="51" s="1"/>
  <c r="H40" i="51"/>
  <c r="J40" i="51" s="1"/>
  <c r="H37" i="51"/>
  <c r="J37" i="51" s="1"/>
  <c r="H33" i="51"/>
  <c r="J33" i="51" s="1"/>
  <c r="H46" i="51"/>
  <c r="J46" i="51" s="1"/>
  <c r="H41" i="51"/>
  <c r="J41" i="51" s="1"/>
  <c r="H34" i="51"/>
  <c r="J34" i="51" s="1"/>
  <c r="H30" i="51"/>
  <c r="J30" i="51" s="1"/>
  <c r="H45" i="51"/>
  <c r="J45" i="51" s="1"/>
  <c r="H36" i="51"/>
  <c r="J36" i="51" s="1"/>
  <c r="H38" i="51"/>
  <c r="J38" i="51" s="1"/>
  <c r="H42" i="51"/>
  <c r="J42" i="51" s="1"/>
  <c r="H31" i="51"/>
  <c r="J31" i="51" s="1"/>
  <c r="H27" i="51"/>
  <c r="J27" i="51" s="1"/>
  <c r="H23" i="51"/>
  <c r="J23" i="51" s="1"/>
  <c r="H20" i="51"/>
  <c r="J20" i="51" s="1"/>
  <c r="H35" i="51"/>
  <c r="J35" i="51" s="1"/>
  <c r="H32" i="51"/>
  <c r="J32" i="51" s="1"/>
  <c r="H29" i="51"/>
  <c r="J29" i="51" s="1"/>
  <c r="H26" i="51"/>
  <c r="J26" i="51" s="1"/>
  <c r="H19" i="51"/>
  <c r="J19" i="51" s="1"/>
  <c r="H3" i="51"/>
  <c r="J3" i="51" s="1"/>
  <c r="H18" i="51"/>
  <c r="J18" i="51" s="1"/>
  <c r="H28" i="51"/>
  <c r="J28" i="51" s="1"/>
  <c r="H25" i="51"/>
  <c r="J25" i="51" s="1"/>
  <c r="H22" i="51"/>
  <c r="J22" i="51" s="1"/>
  <c r="H21" i="51"/>
  <c r="J21" i="51" s="1"/>
  <c r="H24" i="51"/>
  <c r="J24" i="51" s="1"/>
  <c r="H17" i="51"/>
  <c r="J17" i="51" s="1"/>
  <c r="AB17" i="51"/>
  <c r="H4" i="51"/>
  <c r="J4" i="51" s="1"/>
  <c r="H5" i="51"/>
  <c r="J5" i="51" s="1"/>
  <c r="H6" i="51"/>
  <c r="J6" i="51" s="1"/>
  <c r="H7" i="51"/>
  <c r="J7" i="51" s="1"/>
  <c r="H8" i="51"/>
  <c r="J8" i="51" s="1"/>
  <c r="H9" i="51"/>
  <c r="J9" i="51" s="1"/>
  <c r="H10" i="51"/>
  <c r="J10" i="51" s="1"/>
  <c r="H11" i="51"/>
  <c r="J11" i="51" s="1"/>
  <c r="H12" i="51"/>
  <c r="J12" i="51" s="1"/>
  <c r="Y60" i="50"/>
  <c r="Y61" i="50" s="1"/>
  <c r="AA60" i="50"/>
  <c r="AA61" i="50" s="1"/>
  <c r="Z60" i="50"/>
  <c r="Z61" i="50" s="1"/>
  <c r="AB21" i="46"/>
  <c r="E57" i="47"/>
  <c r="G54" i="47"/>
  <c r="F55" i="47"/>
  <c r="G53" i="47"/>
  <c r="D42" i="47"/>
  <c r="D43" i="47" s="1"/>
  <c r="M3" i="46"/>
  <c r="N3" i="46" s="1"/>
  <c r="AB61" i="44"/>
  <c r="H27" i="43"/>
  <c r="J27" i="43" s="1"/>
  <c r="H30" i="43"/>
  <c r="J30" i="43" s="1"/>
  <c r="H29" i="43"/>
  <c r="J29" i="43" s="1"/>
  <c r="H25" i="43"/>
  <c r="J25" i="43" s="1"/>
  <c r="H24" i="43"/>
  <c r="J24" i="43" s="1"/>
  <c r="H18" i="43"/>
  <c r="J18" i="43" s="1"/>
  <c r="H17" i="43"/>
  <c r="J17" i="43" s="1"/>
  <c r="H23" i="43"/>
  <c r="J23" i="43" s="1"/>
  <c r="H20" i="43"/>
  <c r="J20" i="43" s="1"/>
  <c r="H19" i="43"/>
  <c r="J19" i="43" s="1"/>
  <c r="H22" i="43"/>
  <c r="J22" i="43" s="1"/>
  <c r="H28" i="43"/>
  <c r="J28" i="43" s="1"/>
  <c r="H26" i="43"/>
  <c r="J26" i="43" s="1"/>
  <c r="H3" i="43"/>
  <c r="J3" i="43" s="1"/>
  <c r="H6" i="43"/>
  <c r="J6" i="43" s="1"/>
  <c r="H4" i="43"/>
  <c r="J4" i="43" s="1"/>
  <c r="H5" i="43"/>
  <c r="J5" i="43" s="1"/>
  <c r="AB17" i="43"/>
  <c r="H7" i="43"/>
  <c r="J7" i="43" s="1"/>
  <c r="H8" i="43"/>
  <c r="J8" i="43" s="1"/>
  <c r="H9" i="43"/>
  <c r="J9" i="43" s="1"/>
  <c r="H10" i="43"/>
  <c r="J10" i="43" s="1"/>
  <c r="H11" i="43"/>
  <c r="J11" i="43" s="1"/>
  <c r="H12" i="43"/>
  <c r="J12" i="43" s="1"/>
  <c r="I17" i="40"/>
  <c r="K17" i="40" s="1"/>
  <c r="I3" i="40"/>
  <c r="I19" i="40"/>
  <c r="K19" i="40" s="1"/>
  <c r="I18" i="40"/>
  <c r="K18" i="40" s="1"/>
  <c r="I21" i="40"/>
  <c r="K21" i="40" s="1"/>
  <c r="I20" i="40"/>
  <c r="K20" i="40" s="1"/>
  <c r="D38" i="38"/>
  <c r="AD9" i="74" l="1"/>
  <c r="AB9" i="74"/>
  <c r="L9" i="75"/>
  <c r="L9" i="74"/>
  <c r="L9" i="72"/>
  <c r="G29" i="75"/>
  <c r="G29" i="74"/>
  <c r="G29" i="72"/>
  <c r="AB9" i="72"/>
  <c r="AD9" i="72"/>
  <c r="L6" i="45"/>
  <c r="M6" i="45"/>
  <c r="N6" i="45" s="1"/>
  <c r="Q5" i="45"/>
  <c r="R5" i="45" s="1"/>
  <c r="P5" i="45"/>
  <c r="I10" i="45"/>
  <c r="K9" i="45"/>
  <c r="R103" i="45"/>
  <c r="B7" i="45"/>
  <c r="J7" i="45" s="1"/>
  <c r="R111" i="45"/>
  <c r="X15" i="75"/>
  <c r="R112" i="45"/>
  <c r="R98" i="45"/>
  <c r="Q109" i="45"/>
  <c r="R109" i="45" s="1"/>
  <c r="R108" i="45"/>
  <c r="D22" i="39"/>
  <c r="D23" i="39" s="1"/>
  <c r="D35" i="39" s="1"/>
  <c r="D36" i="39" s="1"/>
  <c r="D22" i="75"/>
  <c r="D23" i="75" s="1"/>
  <c r="D35" i="75" s="1"/>
  <c r="D36" i="75" s="1"/>
  <c r="D22" i="74"/>
  <c r="D23" i="74" s="1"/>
  <c r="D35" i="74" s="1"/>
  <c r="D36" i="74" s="1"/>
  <c r="D22" i="72"/>
  <c r="D23" i="72" s="1"/>
  <c r="D35" i="72" s="1"/>
  <c r="D36" i="72" s="1"/>
  <c r="P105" i="45"/>
  <c r="Q105" i="45"/>
  <c r="R105" i="45" s="1"/>
  <c r="P99" i="45"/>
  <c r="Q99" i="45"/>
  <c r="R99" i="45" s="1"/>
  <c r="P119" i="45"/>
  <c r="Q119" i="45"/>
  <c r="R119" i="45" s="1"/>
  <c r="Q117" i="45"/>
  <c r="R117" i="45" s="1"/>
  <c r="P117" i="45"/>
  <c r="P101" i="45"/>
  <c r="Q101" i="45"/>
  <c r="R101" i="45" s="1"/>
  <c r="P115" i="45"/>
  <c r="Q115" i="45"/>
  <c r="R115" i="45" s="1"/>
  <c r="Q114" i="45"/>
  <c r="R114" i="45" s="1"/>
  <c r="P114" i="45"/>
  <c r="P100" i="45"/>
  <c r="Q100" i="45"/>
  <c r="R100" i="45" s="1"/>
  <c r="P104" i="45"/>
  <c r="Q104" i="45"/>
  <c r="R104" i="45" s="1"/>
  <c r="P118" i="45"/>
  <c r="Q118" i="45"/>
  <c r="R118" i="45" s="1"/>
  <c r="P113" i="45"/>
  <c r="Q113" i="45"/>
  <c r="R113" i="45" s="1"/>
  <c r="P116" i="45"/>
  <c r="Q116" i="45"/>
  <c r="R116" i="45" s="1"/>
  <c r="Q106" i="45"/>
  <c r="R106" i="45" s="1"/>
  <c r="P106" i="45"/>
  <c r="P107" i="45"/>
  <c r="Q107" i="45"/>
  <c r="R107" i="45" s="1"/>
  <c r="Q102" i="45"/>
  <c r="R102" i="45" s="1"/>
  <c r="P102" i="45"/>
  <c r="Q110" i="45"/>
  <c r="R110" i="45" s="1"/>
  <c r="P110" i="45"/>
  <c r="X2" i="75"/>
  <c r="J9" i="46"/>
  <c r="M9" i="46" s="1"/>
  <c r="N9" i="46" s="1"/>
  <c r="P9" i="46" s="1"/>
  <c r="M12" i="46"/>
  <c r="N12" i="46" s="1"/>
  <c r="L12" i="46"/>
  <c r="L42" i="46"/>
  <c r="M42" i="46"/>
  <c r="N42" i="46" s="1"/>
  <c r="P42" i="46" s="1"/>
  <c r="J24" i="46"/>
  <c r="J22" i="46"/>
  <c r="J29" i="46"/>
  <c r="J18" i="46"/>
  <c r="J11" i="46"/>
  <c r="J36" i="46"/>
  <c r="J23" i="46"/>
  <c r="J26" i="46"/>
  <c r="J37" i="46"/>
  <c r="J41" i="46"/>
  <c r="J31" i="46"/>
  <c r="J33" i="46"/>
  <c r="J25" i="46"/>
  <c r="J17" i="46"/>
  <c r="J8" i="46"/>
  <c r="J35" i="46"/>
  <c r="J39" i="46"/>
  <c r="J20" i="46"/>
  <c r="J30" i="46"/>
  <c r="J4" i="46"/>
  <c r="J5" i="46"/>
  <c r="J27" i="46"/>
  <c r="J38" i="46"/>
  <c r="J34" i="46"/>
  <c r="J10" i="46"/>
  <c r="J28" i="46"/>
  <c r="J40" i="46"/>
  <c r="J19" i="46"/>
  <c r="J7" i="46"/>
  <c r="J32" i="46"/>
  <c r="J21" i="46"/>
  <c r="J6" i="46"/>
  <c r="M21" i="43"/>
  <c r="N21" i="43" s="1"/>
  <c r="P21" i="43" s="1"/>
  <c r="AB3" i="40"/>
  <c r="AB4" i="40"/>
  <c r="AB21" i="51"/>
  <c r="G29" i="39"/>
  <c r="AB21" i="43"/>
  <c r="L9" i="39"/>
  <c r="M51" i="51"/>
  <c r="N51" i="51" s="1"/>
  <c r="L51" i="51"/>
  <c r="M49" i="51"/>
  <c r="N49" i="51" s="1"/>
  <c r="L49" i="51"/>
  <c r="M52" i="51"/>
  <c r="N52" i="51" s="1"/>
  <c r="L52" i="51"/>
  <c r="L48" i="51"/>
  <c r="M48" i="51"/>
  <c r="N48" i="51" s="1"/>
  <c r="L50" i="51"/>
  <c r="M50" i="51"/>
  <c r="N50" i="51" s="1"/>
  <c r="M32" i="51"/>
  <c r="N32" i="51" s="1"/>
  <c r="L32" i="51"/>
  <c r="L10" i="51"/>
  <c r="M10" i="51"/>
  <c r="N10" i="51" s="1"/>
  <c r="L6" i="51"/>
  <c r="M6" i="51"/>
  <c r="N6" i="51" s="1"/>
  <c r="L17" i="51"/>
  <c r="M17" i="51"/>
  <c r="N17" i="51" s="1"/>
  <c r="L25" i="51"/>
  <c r="M25" i="51"/>
  <c r="N25" i="51" s="1"/>
  <c r="M19" i="51"/>
  <c r="N19" i="51" s="1"/>
  <c r="L19" i="51"/>
  <c r="L35" i="51"/>
  <c r="M35" i="51"/>
  <c r="N35" i="51" s="1"/>
  <c r="L31" i="51"/>
  <c r="M31" i="51"/>
  <c r="N31" i="51" s="1"/>
  <c r="M36" i="51"/>
  <c r="N36" i="51" s="1"/>
  <c r="L36" i="51"/>
  <c r="M41" i="51"/>
  <c r="N41" i="51" s="1"/>
  <c r="L41" i="51"/>
  <c r="L40" i="51"/>
  <c r="M40" i="51"/>
  <c r="N40" i="51" s="1"/>
  <c r="L39" i="51"/>
  <c r="M39" i="51"/>
  <c r="N39" i="51" s="1"/>
  <c r="M7" i="51"/>
  <c r="N7" i="51" s="1"/>
  <c r="L7" i="51"/>
  <c r="M22" i="51"/>
  <c r="N22" i="51" s="1"/>
  <c r="L22" i="51"/>
  <c r="L27" i="51"/>
  <c r="M27" i="51"/>
  <c r="N27" i="51" s="1"/>
  <c r="L34" i="51"/>
  <c r="M34" i="51"/>
  <c r="N34" i="51" s="1"/>
  <c r="L9" i="51"/>
  <c r="M9" i="51"/>
  <c r="N9" i="51" s="1"/>
  <c r="L5" i="51"/>
  <c r="M5" i="51"/>
  <c r="N5" i="51" s="1"/>
  <c r="L24" i="51"/>
  <c r="M24" i="51"/>
  <c r="N24" i="51" s="1"/>
  <c r="L28" i="51"/>
  <c r="M28" i="51"/>
  <c r="N28" i="51" s="1"/>
  <c r="M26" i="51"/>
  <c r="N26" i="51" s="1"/>
  <c r="L26" i="51"/>
  <c r="L20" i="51"/>
  <c r="M20" i="51"/>
  <c r="N20" i="51" s="1"/>
  <c r="M42" i="51"/>
  <c r="N42" i="51" s="1"/>
  <c r="L42" i="51"/>
  <c r="L45" i="51"/>
  <c r="M45" i="51"/>
  <c r="N45" i="51" s="1"/>
  <c r="M46" i="51"/>
  <c r="N46" i="51" s="1"/>
  <c r="L46" i="51"/>
  <c r="L44" i="51"/>
  <c r="M44" i="51"/>
  <c r="N44" i="51" s="1"/>
  <c r="L43" i="51"/>
  <c r="M43" i="51"/>
  <c r="N43" i="51" s="1"/>
  <c r="M11" i="51"/>
  <c r="N11" i="51" s="1"/>
  <c r="L11" i="51"/>
  <c r="L3" i="51"/>
  <c r="M3" i="51"/>
  <c r="N3" i="51" s="1"/>
  <c r="M38" i="51"/>
  <c r="N38" i="51" s="1"/>
  <c r="L38" i="51"/>
  <c r="L37" i="51"/>
  <c r="M37" i="51"/>
  <c r="N37" i="51" s="1"/>
  <c r="L12" i="51"/>
  <c r="M12" i="51"/>
  <c r="N12" i="51" s="1"/>
  <c r="L8" i="51"/>
  <c r="M8" i="51"/>
  <c r="N8" i="51" s="1"/>
  <c r="M4" i="51"/>
  <c r="N4" i="51" s="1"/>
  <c r="L4" i="51"/>
  <c r="L21" i="51"/>
  <c r="M21" i="51"/>
  <c r="N21" i="51" s="1"/>
  <c r="M18" i="51"/>
  <c r="N18" i="51" s="1"/>
  <c r="L18" i="51"/>
  <c r="M29" i="51"/>
  <c r="N29" i="51" s="1"/>
  <c r="L29" i="51"/>
  <c r="L23" i="51"/>
  <c r="M23" i="51"/>
  <c r="N23" i="51" s="1"/>
  <c r="L30" i="51"/>
  <c r="M30" i="51"/>
  <c r="N30" i="51" s="1"/>
  <c r="L33" i="51"/>
  <c r="M33" i="51"/>
  <c r="N33" i="51" s="1"/>
  <c r="L47" i="51"/>
  <c r="M47" i="51"/>
  <c r="N47" i="51" s="1"/>
  <c r="AB61" i="50"/>
  <c r="AD9" i="39"/>
  <c r="AB9" i="39"/>
  <c r="T9" i="39"/>
  <c r="R9" i="39"/>
  <c r="E58" i="47"/>
  <c r="F56" i="47"/>
  <c r="G55" i="47"/>
  <c r="D44" i="47"/>
  <c r="D45" i="47" s="1"/>
  <c r="D46" i="47" s="1"/>
  <c r="D47" i="47" s="1"/>
  <c r="D48" i="47" s="1"/>
  <c r="P3" i="46"/>
  <c r="Q3" i="46"/>
  <c r="R3" i="46" s="1"/>
  <c r="P12" i="46"/>
  <c r="Q12" i="46"/>
  <c r="M10" i="43"/>
  <c r="N10" i="43" s="1"/>
  <c r="L10" i="43"/>
  <c r="L3" i="43"/>
  <c r="M3" i="43"/>
  <c r="N3" i="43" s="1"/>
  <c r="M19" i="43"/>
  <c r="N19" i="43" s="1"/>
  <c r="L19" i="43"/>
  <c r="M17" i="43"/>
  <c r="N17" i="43" s="1"/>
  <c r="L17" i="43"/>
  <c r="L27" i="43"/>
  <c r="M27" i="43"/>
  <c r="N27" i="43" s="1"/>
  <c r="L9" i="43"/>
  <c r="M9" i="43"/>
  <c r="N9" i="43" s="1"/>
  <c r="L5" i="43"/>
  <c r="M5" i="43"/>
  <c r="N5" i="43" s="1"/>
  <c r="M26" i="43"/>
  <c r="N26" i="43" s="1"/>
  <c r="L26" i="43"/>
  <c r="M20" i="43"/>
  <c r="N20" i="43" s="1"/>
  <c r="L20" i="43"/>
  <c r="M18" i="43"/>
  <c r="N18" i="43" s="1"/>
  <c r="L18" i="43"/>
  <c r="L25" i="43"/>
  <c r="M25" i="43"/>
  <c r="N25" i="43" s="1"/>
  <c r="M30" i="43"/>
  <c r="N30" i="43" s="1"/>
  <c r="L30" i="43"/>
  <c r="M12" i="43"/>
  <c r="N12" i="43" s="1"/>
  <c r="L12" i="43"/>
  <c r="M8" i="43"/>
  <c r="N8" i="43" s="1"/>
  <c r="L8" i="43"/>
  <c r="L4" i="43"/>
  <c r="M4" i="43"/>
  <c r="N4" i="43" s="1"/>
  <c r="M28" i="43"/>
  <c r="N28" i="43" s="1"/>
  <c r="L28" i="43"/>
  <c r="M23" i="43"/>
  <c r="N23" i="43" s="1"/>
  <c r="L23" i="43"/>
  <c r="M29" i="43"/>
  <c r="N29" i="43" s="1"/>
  <c r="L29" i="43"/>
  <c r="L11" i="43"/>
  <c r="M11" i="43"/>
  <c r="N11" i="43" s="1"/>
  <c r="L7" i="43"/>
  <c r="M7" i="43"/>
  <c r="N7" i="43" s="1"/>
  <c r="M6" i="43"/>
  <c r="N6" i="43" s="1"/>
  <c r="L6" i="43"/>
  <c r="M22" i="43"/>
  <c r="N22" i="43" s="1"/>
  <c r="L22" i="43"/>
  <c r="M24" i="43"/>
  <c r="N24" i="43" s="1"/>
  <c r="L24" i="43"/>
  <c r="I4" i="40"/>
  <c r="I5" i="40" s="1"/>
  <c r="I6" i="40" s="1"/>
  <c r="I7" i="40" s="1"/>
  <c r="I8" i="40" s="1"/>
  <c r="I9" i="40" s="1"/>
  <c r="I10" i="40" s="1"/>
  <c r="I11" i="40" s="1"/>
  <c r="K3" i="40"/>
  <c r="K4" i="40" s="1"/>
  <c r="K5" i="40" s="1"/>
  <c r="K6" i="40" s="1"/>
  <c r="K7" i="40" s="1"/>
  <c r="K8" i="40" s="1"/>
  <c r="K9" i="40" s="1"/>
  <c r="K10" i="40" s="1"/>
  <c r="K11" i="40" s="1"/>
  <c r="D39" i="38"/>
  <c r="I38" i="38" s="1"/>
  <c r="K38" i="38" s="1"/>
  <c r="I34" i="38"/>
  <c r="K34" i="38" s="1"/>
  <c r="J29" i="74" l="1"/>
  <c r="H29" i="74"/>
  <c r="I29" i="74" s="1"/>
  <c r="I32" i="74" s="1"/>
  <c r="J29" i="72"/>
  <c r="H29" i="72"/>
  <c r="I29" i="72" s="1"/>
  <c r="I32" i="72" s="1"/>
  <c r="H29" i="75"/>
  <c r="J29" i="75"/>
  <c r="O9" i="72"/>
  <c r="M9" i="72"/>
  <c r="N9" i="72" s="1"/>
  <c r="N12" i="72" s="1"/>
  <c r="O9" i="74"/>
  <c r="M9" i="74"/>
  <c r="N9" i="74" s="1"/>
  <c r="N12" i="74" s="1"/>
  <c r="O9" i="75"/>
  <c r="M9" i="75"/>
  <c r="N9" i="75" s="1"/>
  <c r="N12" i="75" s="1"/>
  <c r="L7" i="45"/>
  <c r="M7" i="45"/>
  <c r="N7" i="45" s="1"/>
  <c r="P6" i="45"/>
  <c r="Q6" i="45"/>
  <c r="R6" i="45" s="1"/>
  <c r="K10" i="45"/>
  <c r="I11" i="45"/>
  <c r="I12" i="45" s="1"/>
  <c r="B8" i="45"/>
  <c r="J8" i="45" s="1"/>
  <c r="X16" i="75"/>
  <c r="R12" i="46"/>
  <c r="Q9" i="46"/>
  <c r="D9" i="74"/>
  <c r="D12" i="74" s="1"/>
  <c r="D3" i="74" s="1"/>
  <c r="D2" i="74" s="1"/>
  <c r="Q42" i="46"/>
  <c r="R42" i="46" s="1"/>
  <c r="L9" i="46"/>
  <c r="M28" i="46"/>
  <c r="N28" i="46" s="1"/>
  <c r="L28" i="46"/>
  <c r="L40" i="46"/>
  <c r="M40" i="46"/>
  <c r="N40" i="46" s="1"/>
  <c r="M8" i="46"/>
  <c r="N8" i="46" s="1"/>
  <c r="L8" i="46"/>
  <c r="L23" i="46"/>
  <c r="M23" i="46"/>
  <c r="N23" i="46" s="1"/>
  <c r="M22" i="46"/>
  <c r="N22" i="46" s="1"/>
  <c r="L22" i="46"/>
  <c r="L10" i="46"/>
  <c r="M10" i="46"/>
  <c r="N10" i="46" s="1"/>
  <c r="M5" i="46"/>
  <c r="N5" i="46" s="1"/>
  <c r="L5" i="46"/>
  <c r="M25" i="46"/>
  <c r="N25" i="46" s="1"/>
  <c r="L25" i="46"/>
  <c r="L36" i="46"/>
  <c r="M36" i="46"/>
  <c r="N36" i="46" s="1"/>
  <c r="M24" i="46"/>
  <c r="N24" i="46" s="1"/>
  <c r="L24" i="46"/>
  <c r="L6" i="46"/>
  <c r="M6" i="46"/>
  <c r="N6" i="46" s="1"/>
  <c r="L34" i="46"/>
  <c r="M34" i="46"/>
  <c r="N34" i="46" s="1"/>
  <c r="M4" i="46"/>
  <c r="N4" i="46" s="1"/>
  <c r="L4" i="46"/>
  <c r="M33" i="46"/>
  <c r="N33" i="46" s="1"/>
  <c r="L33" i="46"/>
  <c r="L11" i="46"/>
  <c r="M11" i="46"/>
  <c r="N11" i="46" s="1"/>
  <c r="AC9" i="72"/>
  <c r="AC12" i="72" s="1"/>
  <c r="L17" i="46"/>
  <c r="M17" i="46"/>
  <c r="N17" i="46" s="1"/>
  <c r="L21" i="46"/>
  <c r="M21" i="46"/>
  <c r="N21" i="46" s="1"/>
  <c r="M38" i="46"/>
  <c r="N38" i="46" s="1"/>
  <c r="L38" i="46"/>
  <c r="M30" i="46"/>
  <c r="N30" i="46" s="1"/>
  <c r="L30" i="46"/>
  <c r="M31" i="46"/>
  <c r="N31" i="46" s="1"/>
  <c r="L31" i="46"/>
  <c r="M18" i="46"/>
  <c r="N18" i="46" s="1"/>
  <c r="L18" i="46"/>
  <c r="M27" i="46"/>
  <c r="N27" i="46" s="1"/>
  <c r="L27" i="46"/>
  <c r="L32" i="46"/>
  <c r="M32" i="46"/>
  <c r="N32" i="46" s="1"/>
  <c r="M20" i="46"/>
  <c r="N20" i="46" s="1"/>
  <c r="L20" i="46"/>
  <c r="L41" i="46"/>
  <c r="M41" i="46"/>
  <c r="N41" i="46" s="1"/>
  <c r="L29" i="46"/>
  <c r="M29" i="46"/>
  <c r="N29" i="46" s="1"/>
  <c r="L7" i="46"/>
  <c r="M7" i="46"/>
  <c r="N7" i="46" s="1"/>
  <c r="M39" i="46"/>
  <c r="N39" i="46" s="1"/>
  <c r="L39" i="46"/>
  <c r="L37" i="46"/>
  <c r="M37" i="46"/>
  <c r="N37" i="46" s="1"/>
  <c r="L19" i="46"/>
  <c r="M19" i="46"/>
  <c r="N19" i="46" s="1"/>
  <c r="AC9" i="74"/>
  <c r="AC12" i="74" s="1"/>
  <c r="L35" i="46"/>
  <c r="M35" i="46"/>
  <c r="N35" i="46" s="1"/>
  <c r="M26" i="46"/>
  <c r="N26" i="46" s="1"/>
  <c r="L26" i="46"/>
  <c r="I36" i="38"/>
  <c r="K36" i="38" s="1"/>
  <c r="I32" i="38"/>
  <c r="K32" i="38" s="1"/>
  <c r="Q21" i="43"/>
  <c r="R21" i="43" s="1"/>
  <c r="H24" i="40"/>
  <c r="J24" i="40" s="1"/>
  <c r="H28" i="40"/>
  <c r="J28" i="40" s="1"/>
  <c r="H22" i="40"/>
  <c r="J22" i="40" s="1"/>
  <c r="H26" i="40"/>
  <c r="J26" i="40" s="1"/>
  <c r="H23" i="40"/>
  <c r="J23" i="40" s="1"/>
  <c r="H25" i="40"/>
  <c r="J25" i="40" s="1"/>
  <c r="H27" i="40"/>
  <c r="J27" i="40" s="1"/>
  <c r="AC9" i="39"/>
  <c r="AC12" i="39" s="1"/>
  <c r="M9" i="39"/>
  <c r="O9" i="39"/>
  <c r="H29" i="39"/>
  <c r="J29" i="39"/>
  <c r="Q50" i="51"/>
  <c r="R50" i="51" s="1"/>
  <c r="P50" i="51"/>
  <c r="Q49" i="51"/>
  <c r="R49" i="51" s="1"/>
  <c r="P49" i="51"/>
  <c r="Q48" i="51"/>
  <c r="R48" i="51" s="1"/>
  <c r="P48" i="51"/>
  <c r="P51" i="51"/>
  <c r="Q51" i="51"/>
  <c r="R51" i="51" s="1"/>
  <c r="Q52" i="51"/>
  <c r="R52" i="51" s="1"/>
  <c r="P52" i="51"/>
  <c r="Q20" i="51"/>
  <c r="R20" i="51" s="1"/>
  <c r="P20" i="51"/>
  <c r="Q23" i="51"/>
  <c r="R23" i="51" s="1"/>
  <c r="P23" i="51"/>
  <c r="Q36" i="51"/>
  <c r="R36" i="51" s="1"/>
  <c r="P36" i="51"/>
  <c r="P17" i="51"/>
  <c r="Q17" i="51"/>
  <c r="R17" i="51" s="1"/>
  <c r="P24" i="51"/>
  <c r="Q24" i="51"/>
  <c r="R24" i="51" s="1"/>
  <c r="Q39" i="51"/>
  <c r="R39" i="51" s="1"/>
  <c r="P39" i="51"/>
  <c r="Q38" i="51"/>
  <c r="R38" i="51" s="1"/>
  <c r="P38" i="51"/>
  <c r="Q22" i="51"/>
  <c r="R22" i="51" s="1"/>
  <c r="P22" i="51"/>
  <c r="P41" i="51"/>
  <c r="Q41" i="51"/>
  <c r="R41" i="51" s="1"/>
  <c r="Q25" i="51"/>
  <c r="R25" i="51" s="1"/>
  <c r="P25" i="51"/>
  <c r="P18" i="51"/>
  <c r="Q18" i="51"/>
  <c r="R18" i="51" s="1"/>
  <c r="Q47" i="51"/>
  <c r="R47" i="51" s="1"/>
  <c r="P47" i="51"/>
  <c r="P29" i="51"/>
  <c r="Q29" i="51"/>
  <c r="R29" i="51" s="1"/>
  <c r="Q37" i="51"/>
  <c r="R37" i="51" s="1"/>
  <c r="P37" i="51"/>
  <c r="Q43" i="51"/>
  <c r="R43" i="51" s="1"/>
  <c r="P43" i="51"/>
  <c r="P40" i="51"/>
  <c r="Q40" i="51"/>
  <c r="R40" i="51" s="1"/>
  <c r="P46" i="51"/>
  <c r="Q46" i="51"/>
  <c r="R46" i="51" s="1"/>
  <c r="P34" i="51"/>
  <c r="Q34" i="51"/>
  <c r="R34" i="51" s="1"/>
  <c r="Q12" i="51"/>
  <c r="R12" i="51" s="1"/>
  <c r="P12" i="51"/>
  <c r="Q3" i="51"/>
  <c r="R3" i="51" s="1"/>
  <c r="P3" i="51"/>
  <c r="P31" i="51"/>
  <c r="Q31" i="51"/>
  <c r="R31" i="51" s="1"/>
  <c r="Q33" i="51"/>
  <c r="R33" i="51" s="1"/>
  <c r="P33" i="51"/>
  <c r="P44" i="51"/>
  <c r="Q44" i="51"/>
  <c r="R44" i="51" s="1"/>
  <c r="P5" i="51"/>
  <c r="Q5" i="51"/>
  <c r="R5" i="51" s="1"/>
  <c r="P35" i="51"/>
  <c r="Q35" i="51"/>
  <c r="R35" i="51" s="1"/>
  <c r="P21" i="51"/>
  <c r="Q21" i="51"/>
  <c r="R21" i="51" s="1"/>
  <c r="P4" i="51"/>
  <c r="Q4" i="51"/>
  <c r="R4" i="51" s="1"/>
  <c r="P42" i="51"/>
  <c r="Q42" i="51"/>
  <c r="R42" i="51" s="1"/>
  <c r="P28" i="51"/>
  <c r="Q28" i="51"/>
  <c r="R28" i="51" s="1"/>
  <c r="P9" i="51"/>
  <c r="Q9" i="51"/>
  <c r="R9" i="51" s="1"/>
  <c r="P7" i="51"/>
  <c r="Q7" i="51"/>
  <c r="R7" i="51" s="1"/>
  <c r="P19" i="51"/>
  <c r="Q19" i="51"/>
  <c r="R19" i="51" s="1"/>
  <c r="Q6" i="51"/>
  <c r="R6" i="51" s="1"/>
  <c r="P6" i="51"/>
  <c r="P32" i="51"/>
  <c r="Q32" i="51"/>
  <c r="R32" i="51" s="1"/>
  <c r="P30" i="51"/>
  <c r="Q30" i="51"/>
  <c r="R30" i="51" s="1"/>
  <c r="P11" i="51"/>
  <c r="Q11" i="51"/>
  <c r="R11" i="51" s="1"/>
  <c r="P45" i="51"/>
  <c r="Q45" i="51"/>
  <c r="R45" i="51" s="1"/>
  <c r="P26" i="51"/>
  <c r="Q26" i="51"/>
  <c r="R26" i="51" s="1"/>
  <c r="Q27" i="51"/>
  <c r="R27" i="51" s="1"/>
  <c r="P27" i="51"/>
  <c r="Q10" i="51"/>
  <c r="R10" i="51" s="1"/>
  <c r="P10" i="51"/>
  <c r="Q8" i="51"/>
  <c r="R8" i="51" s="1"/>
  <c r="P8" i="51"/>
  <c r="S9" i="39"/>
  <c r="S12" i="39" s="1"/>
  <c r="G56" i="47"/>
  <c r="F57" i="47"/>
  <c r="E59" i="47"/>
  <c r="D49" i="47"/>
  <c r="Q29" i="43"/>
  <c r="R29" i="43" s="1"/>
  <c r="P29" i="43"/>
  <c r="Q17" i="43"/>
  <c r="R17" i="43" s="1"/>
  <c r="P17" i="43"/>
  <c r="Q24" i="43"/>
  <c r="R24" i="43" s="1"/>
  <c r="P24" i="43"/>
  <c r="Q18" i="43"/>
  <c r="R18" i="43" s="1"/>
  <c r="P18" i="43"/>
  <c r="Q27" i="43"/>
  <c r="R27" i="43" s="1"/>
  <c r="P27" i="43"/>
  <c r="P22" i="43"/>
  <c r="Q22" i="43"/>
  <c r="R22" i="43" s="1"/>
  <c r="P28" i="43"/>
  <c r="Q28" i="43"/>
  <c r="R28" i="43" s="1"/>
  <c r="Q25" i="43"/>
  <c r="R25" i="43" s="1"/>
  <c r="P25" i="43"/>
  <c r="P26" i="43"/>
  <c r="Q26" i="43"/>
  <c r="R26" i="43" s="1"/>
  <c r="P19" i="43"/>
  <c r="Q19" i="43"/>
  <c r="R19" i="43" s="1"/>
  <c r="P6" i="43"/>
  <c r="Q6" i="43"/>
  <c r="R6" i="43" s="1"/>
  <c r="P12" i="43"/>
  <c r="Q12" i="43"/>
  <c r="R12" i="43" s="1"/>
  <c r="Q30" i="43"/>
  <c r="R30" i="43" s="1"/>
  <c r="P30" i="43"/>
  <c r="Q3" i="43"/>
  <c r="R3" i="43" s="1"/>
  <c r="P3" i="43"/>
  <c r="Q7" i="43"/>
  <c r="R7" i="43" s="1"/>
  <c r="P7" i="43"/>
  <c r="Q9" i="43"/>
  <c r="R9" i="43" s="1"/>
  <c r="P9" i="43"/>
  <c r="P8" i="43"/>
  <c r="Q8" i="43"/>
  <c r="R8" i="43" s="1"/>
  <c r="Q11" i="43"/>
  <c r="R11" i="43" s="1"/>
  <c r="P11" i="43"/>
  <c r="Q23" i="43"/>
  <c r="R23" i="43" s="1"/>
  <c r="P23" i="43"/>
  <c r="Q4" i="43"/>
  <c r="R4" i="43" s="1"/>
  <c r="P4" i="43"/>
  <c r="Q20" i="43"/>
  <c r="R20" i="43" s="1"/>
  <c r="P20" i="43"/>
  <c r="Q5" i="43"/>
  <c r="R5" i="43" s="1"/>
  <c r="P5" i="43"/>
  <c r="Q10" i="43"/>
  <c r="R10" i="43" s="1"/>
  <c r="P10" i="43"/>
  <c r="H14" i="40"/>
  <c r="J14" i="40" s="1"/>
  <c r="H13" i="40"/>
  <c r="J13" i="40" s="1"/>
  <c r="K12" i="40"/>
  <c r="K13" i="40" s="1"/>
  <c r="K14" i="40" s="1"/>
  <c r="H12" i="40"/>
  <c r="J12" i="40" s="1"/>
  <c r="I12" i="40"/>
  <c r="I13" i="40" s="1"/>
  <c r="I14" i="40" s="1"/>
  <c r="H20" i="40"/>
  <c r="J20" i="40" s="1"/>
  <c r="H19" i="40"/>
  <c r="J19" i="40" s="1"/>
  <c r="H17" i="40"/>
  <c r="J17" i="40" s="1"/>
  <c r="H18" i="40"/>
  <c r="J18" i="40" s="1"/>
  <c r="H3" i="40"/>
  <c r="J3" i="40" s="1"/>
  <c r="H21" i="40"/>
  <c r="J21" i="40" s="1"/>
  <c r="AB21" i="40"/>
  <c r="H4" i="40"/>
  <c r="J4" i="40" s="1"/>
  <c r="H5" i="40"/>
  <c r="J5" i="40" s="1"/>
  <c r="H6" i="40"/>
  <c r="J6" i="40" s="1"/>
  <c r="H7" i="40"/>
  <c r="J7" i="40" s="1"/>
  <c r="H8" i="40"/>
  <c r="J8" i="40" s="1"/>
  <c r="H9" i="40"/>
  <c r="J9" i="40" s="1"/>
  <c r="H10" i="40"/>
  <c r="J10" i="40" s="1"/>
  <c r="H11" i="40"/>
  <c r="J11" i="40" s="1"/>
  <c r="I17" i="38"/>
  <c r="K17" i="38" s="1"/>
  <c r="I18" i="38"/>
  <c r="K18" i="38" s="1"/>
  <c r="I3" i="38"/>
  <c r="K3" i="38" s="1"/>
  <c r="K4" i="38" s="1"/>
  <c r="K5" i="38" s="1"/>
  <c r="K6" i="38" s="1"/>
  <c r="K7" i="38" s="1"/>
  <c r="K8" i="38" s="1"/>
  <c r="K9" i="38" s="1"/>
  <c r="K10" i="38" s="1"/>
  <c r="K11" i="38" s="1"/>
  <c r="K12" i="38" s="1"/>
  <c r="K13" i="38" s="1"/>
  <c r="I19" i="38"/>
  <c r="K19" i="38" s="1"/>
  <c r="I20" i="38"/>
  <c r="K20" i="38" s="1"/>
  <c r="I21" i="38"/>
  <c r="K21" i="38" s="1"/>
  <c r="I22" i="38"/>
  <c r="K22" i="38" s="1"/>
  <c r="I39" i="38"/>
  <c r="K39" i="38" s="1"/>
  <c r="I23" i="38"/>
  <c r="K23" i="38" s="1"/>
  <c r="I24" i="38"/>
  <c r="K24" i="38" s="1"/>
  <c r="I25" i="38"/>
  <c r="K25" i="38" s="1"/>
  <c r="I26" i="38"/>
  <c r="K26" i="38" s="1"/>
  <c r="I27" i="38"/>
  <c r="K27" i="38" s="1"/>
  <c r="I28" i="38"/>
  <c r="K28" i="38" s="1"/>
  <c r="I29" i="38"/>
  <c r="K29" i="38" s="1"/>
  <c r="I30" i="38"/>
  <c r="K30" i="38" s="1"/>
  <c r="I33" i="38"/>
  <c r="K33" i="38" s="1"/>
  <c r="I37" i="38"/>
  <c r="K37" i="38" s="1"/>
  <c r="I31" i="38"/>
  <c r="K31" i="38" s="1"/>
  <c r="I35" i="38"/>
  <c r="K35" i="38" s="1"/>
  <c r="I29" i="75" l="1"/>
  <c r="I32" i="75" s="1"/>
  <c r="I13" i="45"/>
  <c r="K12" i="45"/>
  <c r="M8" i="45"/>
  <c r="N8" i="45" s="1"/>
  <c r="L8" i="45"/>
  <c r="Q7" i="45"/>
  <c r="R7" i="45" s="1"/>
  <c r="P7" i="45"/>
  <c r="K11" i="45"/>
  <c r="B9" i="45"/>
  <c r="J9" i="45" s="1"/>
  <c r="R9" i="46"/>
  <c r="D15" i="74"/>
  <c r="D16" i="74" s="1"/>
  <c r="P6" i="46"/>
  <c r="Q6" i="46"/>
  <c r="R6" i="46" s="1"/>
  <c r="Q32" i="46"/>
  <c r="R32" i="46" s="1"/>
  <c r="P32" i="46"/>
  <c r="P34" i="46"/>
  <c r="Q34" i="46"/>
  <c r="R34" i="46" s="1"/>
  <c r="Q23" i="46"/>
  <c r="R23" i="46" s="1"/>
  <c r="P23" i="46"/>
  <c r="Q25" i="46"/>
  <c r="R25" i="46" s="1"/>
  <c r="P25" i="46"/>
  <c r="P26" i="46"/>
  <c r="Q26" i="46"/>
  <c r="R26" i="46" s="1"/>
  <c r="P37" i="46"/>
  <c r="Q37" i="46"/>
  <c r="R37" i="46" s="1"/>
  <c r="Q41" i="46"/>
  <c r="R41" i="46" s="1"/>
  <c r="P41" i="46"/>
  <c r="Q27" i="46"/>
  <c r="R27" i="46" s="1"/>
  <c r="P27" i="46"/>
  <c r="Q38" i="46"/>
  <c r="R38" i="46" s="1"/>
  <c r="P38" i="46"/>
  <c r="P5" i="46"/>
  <c r="Q5" i="46"/>
  <c r="R5" i="46" s="1"/>
  <c r="P8" i="46"/>
  <c r="Q8" i="46"/>
  <c r="R8" i="46" s="1"/>
  <c r="P35" i="46"/>
  <c r="Q35" i="46"/>
  <c r="R35" i="46" s="1"/>
  <c r="P21" i="46"/>
  <c r="Q21" i="46"/>
  <c r="R21" i="46" s="1"/>
  <c r="P10" i="46"/>
  <c r="Q10" i="46"/>
  <c r="R10" i="46" s="1"/>
  <c r="P40" i="46"/>
  <c r="Q40" i="46"/>
  <c r="R40" i="46" s="1"/>
  <c r="P29" i="46"/>
  <c r="Q29" i="46"/>
  <c r="R29" i="46" s="1"/>
  <c r="P18" i="46"/>
  <c r="Q18" i="46"/>
  <c r="R18" i="46" s="1"/>
  <c r="P33" i="46"/>
  <c r="Q33" i="46"/>
  <c r="R33" i="46" s="1"/>
  <c r="Q24" i="46"/>
  <c r="R24" i="46" s="1"/>
  <c r="P24" i="46"/>
  <c r="P30" i="46"/>
  <c r="Q30" i="46"/>
  <c r="R30" i="46" s="1"/>
  <c r="P11" i="46"/>
  <c r="Q11" i="46"/>
  <c r="R11" i="46" s="1"/>
  <c r="P39" i="46"/>
  <c r="Q39" i="46"/>
  <c r="R39" i="46" s="1"/>
  <c r="P20" i="46"/>
  <c r="Q20" i="46"/>
  <c r="R20" i="46" s="1"/>
  <c r="P36" i="46"/>
  <c r="Q36" i="46"/>
  <c r="R36" i="46" s="1"/>
  <c r="Q19" i="46"/>
  <c r="R19" i="46" s="1"/>
  <c r="P19" i="46"/>
  <c r="Q7" i="46"/>
  <c r="R7" i="46" s="1"/>
  <c r="P7" i="46"/>
  <c r="P31" i="46"/>
  <c r="Q31" i="46"/>
  <c r="R31" i="46" s="1"/>
  <c r="Q17" i="46"/>
  <c r="R17" i="46" s="1"/>
  <c r="P17" i="46"/>
  <c r="P4" i="46"/>
  <c r="Q4" i="46"/>
  <c r="R4" i="46" s="1"/>
  <c r="P22" i="46"/>
  <c r="Q22" i="46"/>
  <c r="R22" i="46" s="1"/>
  <c r="Q28" i="46"/>
  <c r="R28" i="46" s="1"/>
  <c r="P28" i="46"/>
  <c r="T21" i="43"/>
  <c r="S21" i="43"/>
  <c r="L26" i="40"/>
  <c r="M26" i="40"/>
  <c r="N26" i="40" s="1"/>
  <c r="M27" i="40"/>
  <c r="N27" i="40" s="1"/>
  <c r="L27" i="40"/>
  <c r="L22" i="40"/>
  <c r="M22" i="40"/>
  <c r="N22" i="40" s="1"/>
  <c r="M25" i="40"/>
  <c r="N25" i="40" s="1"/>
  <c r="L25" i="40"/>
  <c r="L28" i="40"/>
  <c r="M28" i="40"/>
  <c r="N28" i="40" s="1"/>
  <c r="M23" i="40"/>
  <c r="N23" i="40" s="1"/>
  <c r="L23" i="40"/>
  <c r="L24" i="40"/>
  <c r="M24" i="40"/>
  <c r="N24" i="40" s="1"/>
  <c r="I29" i="39"/>
  <c r="I32" i="39" s="1"/>
  <c r="N9" i="39"/>
  <c r="N12" i="39" s="1"/>
  <c r="S52" i="51"/>
  <c r="T51" i="51"/>
  <c r="S48" i="51"/>
  <c r="T49" i="51"/>
  <c r="S51" i="51"/>
  <c r="T50" i="51"/>
  <c r="S50" i="51"/>
  <c r="T52" i="51"/>
  <c r="S49" i="51"/>
  <c r="T48" i="51"/>
  <c r="S45" i="51"/>
  <c r="T44" i="51"/>
  <c r="S41" i="51"/>
  <c r="T40" i="51"/>
  <c r="S47" i="51"/>
  <c r="T46" i="51"/>
  <c r="S46" i="51"/>
  <c r="T45" i="51"/>
  <c r="S42" i="51"/>
  <c r="T41" i="51"/>
  <c r="S38" i="51"/>
  <c r="S44" i="51"/>
  <c r="T43" i="51"/>
  <c r="S35" i="51"/>
  <c r="T34" i="51"/>
  <c r="S31" i="51"/>
  <c r="T30" i="51"/>
  <c r="S39" i="51"/>
  <c r="T38" i="51"/>
  <c r="S36" i="51"/>
  <c r="T35" i="51"/>
  <c r="S32" i="51"/>
  <c r="T31" i="51"/>
  <c r="T42" i="51"/>
  <c r="S40" i="51"/>
  <c r="T47" i="51"/>
  <c r="T39" i="51"/>
  <c r="S37" i="51"/>
  <c r="T36" i="51"/>
  <c r="S29" i="51"/>
  <c r="T28" i="51"/>
  <c r="S25" i="51"/>
  <c r="T24" i="51"/>
  <c r="T21" i="51"/>
  <c r="T18" i="51"/>
  <c r="T17" i="51"/>
  <c r="S10" i="51"/>
  <c r="T9" i="51"/>
  <c r="S6" i="51"/>
  <c r="T5" i="51"/>
  <c r="T32" i="51"/>
  <c r="T29" i="51"/>
  <c r="T26" i="51"/>
  <c r="T23" i="51"/>
  <c r="S22" i="51"/>
  <c r="T19" i="51"/>
  <c r="T11" i="51"/>
  <c r="T8" i="51"/>
  <c r="S7" i="51"/>
  <c r="S4" i="51"/>
  <c r="T12" i="51"/>
  <c r="S34" i="51"/>
  <c r="T27" i="51"/>
  <c r="S26" i="51"/>
  <c r="S23" i="51"/>
  <c r="T20" i="51"/>
  <c r="S19" i="51"/>
  <c r="S18" i="51"/>
  <c r="S43" i="51"/>
  <c r="S33" i="51"/>
  <c r="S30" i="51"/>
  <c r="S28" i="51"/>
  <c r="T25" i="51"/>
  <c r="T22" i="51"/>
  <c r="S21" i="51"/>
  <c r="T10" i="51"/>
  <c r="T7" i="51"/>
  <c r="T4" i="51"/>
  <c r="S11" i="51"/>
  <c r="S17" i="51"/>
  <c r="S24" i="51"/>
  <c r="S12" i="51"/>
  <c r="S5" i="51"/>
  <c r="S27" i="51"/>
  <c r="S3" i="51"/>
  <c r="T37" i="51"/>
  <c r="T33" i="51"/>
  <c r="S20" i="51"/>
  <c r="S9" i="51"/>
  <c r="T6" i="51"/>
  <c r="S8" i="51"/>
  <c r="T3" i="51"/>
  <c r="G57" i="47"/>
  <c r="F58" i="47"/>
  <c r="D50" i="47"/>
  <c r="S29" i="43"/>
  <c r="T28" i="43"/>
  <c r="S28" i="43"/>
  <c r="T27" i="43"/>
  <c r="T30" i="43"/>
  <c r="S27" i="43"/>
  <c r="T26" i="43"/>
  <c r="S30" i="43"/>
  <c r="S23" i="43"/>
  <c r="T22" i="43"/>
  <c r="S20" i="43"/>
  <c r="T19" i="43"/>
  <c r="S26" i="43"/>
  <c r="T25" i="43"/>
  <c r="S22" i="43"/>
  <c r="S19" i="43"/>
  <c r="T29" i="43"/>
  <c r="S25" i="43"/>
  <c r="T24" i="43"/>
  <c r="T18" i="43"/>
  <c r="T17" i="43"/>
  <c r="S24" i="43"/>
  <c r="S17" i="43"/>
  <c r="T12" i="43"/>
  <c r="S9" i="43"/>
  <c r="T8" i="43"/>
  <c r="S5" i="43"/>
  <c r="S3" i="43"/>
  <c r="S11" i="43"/>
  <c r="T10" i="43"/>
  <c r="S4" i="43"/>
  <c r="S10" i="43"/>
  <c r="T9" i="43"/>
  <c r="S6" i="43"/>
  <c r="T5" i="43"/>
  <c r="T20" i="43"/>
  <c r="S12" i="43"/>
  <c r="T11" i="43"/>
  <c r="S8" i="43"/>
  <c r="T7" i="43"/>
  <c r="T4" i="43"/>
  <c r="T23" i="43"/>
  <c r="S7" i="43"/>
  <c r="T6" i="43"/>
  <c r="S18" i="43"/>
  <c r="T3" i="43"/>
  <c r="M13" i="40"/>
  <c r="N13" i="40" s="1"/>
  <c r="L13" i="40"/>
  <c r="M14" i="40"/>
  <c r="N14" i="40" s="1"/>
  <c r="L14" i="40"/>
  <c r="L12" i="40"/>
  <c r="M12" i="40"/>
  <c r="N12" i="40" s="1"/>
  <c r="M5" i="40"/>
  <c r="N5" i="40" s="1"/>
  <c r="L5" i="40"/>
  <c r="M8" i="40"/>
  <c r="N8" i="40" s="1"/>
  <c r="L8" i="40"/>
  <c r="M3" i="40"/>
  <c r="N3" i="40" s="1"/>
  <c r="L3" i="40"/>
  <c r="M19" i="40"/>
  <c r="N19" i="40" s="1"/>
  <c r="L19" i="40"/>
  <c r="L20" i="40"/>
  <c r="M20" i="40"/>
  <c r="N20" i="40" s="1"/>
  <c r="M9" i="40"/>
  <c r="N9" i="40" s="1"/>
  <c r="L9" i="40"/>
  <c r="L11" i="40"/>
  <c r="M11" i="40"/>
  <c r="N11" i="40" s="1"/>
  <c r="L7" i="40"/>
  <c r="M7" i="40"/>
  <c r="N7" i="40" s="1"/>
  <c r="L4" i="40"/>
  <c r="M4" i="40"/>
  <c r="N4" i="40" s="1"/>
  <c r="M18" i="40"/>
  <c r="N18" i="40" s="1"/>
  <c r="L18" i="40"/>
  <c r="M21" i="40"/>
  <c r="N21" i="40" s="1"/>
  <c r="L21" i="40"/>
  <c r="M10" i="40"/>
  <c r="N10" i="40" s="1"/>
  <c r="L10" i="40"/>
  <c r="M6" i="40"/>
  <c r="N6" i="40" s="1"/>
  <c r="L6" i="40"/>
  <c r="M17" i="40"/>
  <c r="N17" i="40" s="1"/>
  <c r="L17" i="40"/>
  <c r="AB4" i="38"/>
  <c r="I4" i="38"/>
  <c r="AB3" i="38"/>
  <c r="AB17" i="38" s="1"/>
  <c r="G9" i="75" l="1"/>
  <c r="G9" i="74"/>
  <c r="G9" i="72"/>
  <c r="I14" i="45"/>
  <c r="K13" i="45"/>
  <c r="L9" i="45"/>
  <c r="M9" i="45"/>
  <c r="N9" i="45" s="1"/>
  <c r="P8" i="45"/>
  <c r="Q8" i="45"/>
  <c r="R8" i="45" s="1"/>
  <c r="B10" i="45"/>
  <c r="J10" i="45" s="1"/>
  <c r="S41" i="46"/>
  <c r="S23" i="46"/>
  <c r="S3" i="46"/>
  <c r="T40" i="46"/>
  <c r="T22" i="46"/>
  <c r="S17" i="46"/>
  <c r="S34" i="46"/>
  <c r="S8" i="46"/>
  <c r="S31" i="46"/>
  <c r="T18" i="46"/>
  <c r="T10" i="46"/>
  <c r="S42" i="46"/>
  <c r="S20" i="46"/>
  <c r="S40" i="46"/>
  <c r="S32" i="46"/>
  <c r="S18" i="46"/>
  <c r="T37" i="46"/>
  <c r="S26" i="46"/>
  <c r="S9" i="46"/>
  <c r="S37" i="46"/>
  <c r="S11" i="46"/>
  <c r="T26" i="46"/>
  <c r="S27" i="46"/>
  <c r="S28" i="46"/>
  <c r="S38" i="46"/>
  <c r="S12" i="46"/>
  <c r="T39" i="46"/>
  <c r="T29" i="46"/>
  <c r="T11" i="46"/>
  <c r="T36" i="46"/>
  <c r="S29" i="46"/>
  <c r="S21" i="46"/>
  <c r="T7" i="46"/>
  <c r="T42" i="46"/>
  <c r="T17" i="46"/>
  <c r="S6" i="46"/>
  <c r="T25" i="46"/>
  <c r="S30" i="46"/>
  <c r="T4" i="46"/>
  <c r="T28" i="46"/>
  <c r="T32" i="46"/>
  <c r="S22" i="46"/>
  <c r="T21" i="46"/>
  <c r="T24" i="46"/>
  <c r="S10" i="46"/>
  <c r="T9" i="46"/>
  <c r="S25" i="46"/>
  <c r="T12" i="46"/>
  <c r="S33" i="46"/>
  <c r="S7" i="46"/>
  <c r="T38" i="46"/>
  <c r="S36" i="46"/>
  <c r="T6" i="46"/>
  <c r="T19" i="46"/>
  <c r="T27" i="46"/>
  <c r="T31" i="46"/>
  <c r="S4" i="46"/>
  <c r="T23" i="46"/>
  <c r="T35" i="46"/>
  <c r="T5" i="46"/>
  <c r="T41" i="46"/>
  <c r="S35" i="46"/>
  <c r="S5" i="46"/>
  <c r="T8" i="46"/>
  <c r="T34" i="46"/>
  <c r="T3" i="46"/>
  <c r="S39" i="46"/>
  <c r="U39" i="46" s="1"/>
  <c r="V39" i="46" s="1"/>
  <c r="W39" i="46" s="1"/>
  <c r="X39" i="46" s="1"/>
  <c r="Y39" i="46" s="1"/>
  <c r="S24" i="46"/>
  <c r="T33" i="46"/>
  <c r="T30" i="46"/>
  <c r="S19" i="46"/>
  <c r="T20" i="46"/>
  <c r="U21" i="43"/>
  <c r="V21" i="43" s="1"/>
  <c r="W21" i="43" s="1"/>
  <c r="X21" i="43" s="1"/>
  <c r="Y21" i="43" s="1"/>
  <c r="Q28" i="40"/>
  <c r="R28" i="40" s="1"/>
  <c r="P28" i="40"/>
  <c r="P27" i="40"/>
  <c r="Q27" i="40"/>
  <c r="R27" i="40" s="1"/>
  <c r="Q26" i="40"/>
  <c r="R26" i="40" s="1"/>
  <c r="P26" i="40"/>
  <c r="P23" i="40"/>
  <c r="Q23" i="40"/>
  <c r="R23" i="40" s="1"/>
  <c r="P25" i="40"/>
  <c r="Q25" i="40"/>
  <c r="R25" i="40" s="1"/>
  <c r="Q22" i="40"/>
  <c r="R22" i="40" s="1"/>
  <c r="P22" i="40"/>
  <c r="Q24" i="40"/>
  <c r="R24" i="40" s="1"/>
  <c r="P24" i="40"/>
  <c r="U43" i="51"/>
  <c r="V43" i="51" s="1"/>
  <c r="W43" i="51" s="1"/>
  <c r="X43" i="51" s="1"/>
  <c r="Y43" i="51" s="1"/>
  <c r="U27" i="51"/>
  <c r="V27" i="51" s="1"/>
  <c r="W27" i="51" s="1"/>
  <c r="X27" i="51" s="1"/>
  <c r="AA27" i="51" s="1"/>
  <c r="U24" i="43"/>
  <c r="V24" i="43" s="1"/>
  <c r="W24" i="43" s="1"/>
  <c r="X24" i="43" s="1"/>
  <c r="Z24" i="43" s="1"/>
  <c r="U9" i="51"/>
  <c r="V9" i="51" s="1"/>
  <c r="W9" i="51" s="1"/>
  <c r="X9" i="51" s="1"/>
  <c r="AA9" i="51" s="1"/>
  <c r="U19" i="51"/>
  <c r="V19" i="51" s="1"/>
  <c r="W19" i="51" s="1"/>
  <c r="X19" i="51" s="1"/>
  <c r="Y19" i="51" s="1"/>
  <c r="U21" i="51"/>
  <c r="V21" i="51" s="1"/>
  <c r="W21" i="51" s="1"/>
  <c r="X21" i="51" s="1"/>
  <c r="Y21" i="51" s="1"/>
  <c r="U44" i="51"/>
  <c r="V44" i="51" s="1"/>
  <c r="W44" i="51" s="1"/>
  <c r="X44" i="51" s="1"/>
  <c r="Z44" i="51" s="1"/>
  <c r="U24" i="51"/>
  <c r="V24" i="51" s="1"/>
  <c r="W24" i="51" s="1"/>
  <c r="X24" i="51" s="1"/>
  <c r="Z24" i="51" s="1"/>
  <c r="U30" i="51"/>
  <c r="V30" i="51" s="1"/>
  <c r="W30" i="51" s="1"/>
  <c r="X30" i="51" s="1"/>
  <c r="Y30" i="51" s="1"/>
  <c r="U49" i="51"/>
  <c r="V49" i="51" s="1"/>
  <c r="W49" i="51" s="1"/>
  <c r="X49" i="51" s="1"/>
  <c r="Z49" i="51" s="1"/>
  <c r="U51" i="51"/>
  <c r="V51" i="51" s="1"/>
  <c r="W51" i="51" s="1"/>
  <c r="X51" i="51" s="1"/>
  <c r="Z51" i="51" s="1"/>
  <c r="U20" i="51"/>
  <c r="V20" i="51" s="1"/>
  <c r="W20" i="51" s="1"/>
  <c r="X20" i="51" s="1"/>
  <c r="AA20" i="51" s="1"/>
  <c r="U17" i="51"/>
  <c r="V17" i="51" s="1"/>
  <c r="W17" i="51" s="1"/>
  <c r="X17" i="51" s="1"/>
  <c r="Y17" i="51" s="1"/>
  <c r="U8" i="51"/>
  <c r="V8" i="51" s="1"/>
  <c r="W8" i="51" s="1"/>
  <c r="X8" i="51" s="1"/>
  <c r="Y8" i="51" s="1"/>
  <c r="U5" i="51"/>
  <c r="V5" i="51" s="1"/>
  <c r="W5" i="51" s="1"/>
  <c r="X5" i="51" s="1"/>
  <c r="Z5" i="51" s="1"/>
  <c r="U40" i="51"/>
  <c r="V40" i="51" s="1"/>
  <c r="W40" i="51" s="1"/>
  <c r="X40" i="51" s="1"/>
  <c r="AA40" i="51" s="1"/>
  <c r="U50" i="51"/>
  <c r="V50" i="51" s="1"/>
  <c r="W50" i="51" s="1"/>
  <c r="X50" i="51" s="1"/>
  <c r="Z50" i="51" s="1"/>
  <c r="U48" i="51"/>
  <c r="V48" i="51" s="1"/>
  <c r="W48" i="51" s="1"/>
  <c r="X48" i="51" s="1"/>
  <c r="Y48" i="51" s="1"/>
  <c r="U12" i="51"/>
  <c r="V12" i="51" s="1"/>
  <c r="W12" i="51" s="1"/>
  <c r="X12" i="51" s="1"/>
  <c r="AA12" i="51" s="1"/>
  <c r="U34" i="51"/>
  <c r="V34" i="51" s="1"/>
  <c r="W34" i="51" s="1"/>
  <c r="X34" i="51" s="1"/>
  <c r="Y34" i="51" s="1"/>
  <c r="U36" i="51"/>
  <c r="V36" i="51" s="1"/>
  <c r="W36" i="51" s="1"/>
  <c r="X36" i="51" s="1"/>
  <c r="AA36" i="51" s="1"/>
  <c r="U31" i="51"/>
  <c r="V31" i="51" s="1"/>
  <c r="W31" i="51" s="1"/>
  <c r="X31" i="51" s="1"/>
  <c r="Y31" i="51" s="1"/>
  <c r="U28" i="51"/>
  <c r="V28" i="51" s="1"/>
  <c r="W28" i="51" s="1"/>
  <c r="X28" i="51" s="1"/>
  <c r="AA28" i="51" s="1"/>
  <c r="U18" i="51"/>
  <c r="V18" i="51" s="1"/>
  <c r="W18" i="51" s="1"/>
  <c r="X18" i="51" s="1"/>
  <c r="Z18" i="51" s="1"/>
  <c r="U26" i="51"/>
  <c r="V26" i="51" s="1"/>
  <c r="W26" i="51" s="1"/>
  <c r="X26" i="51" s="1"/>
  <c r="Z26" i="51" s="1"/>
  <c r="U11" i="51"/>
  <c r="V11" i="51" s="1"/>
  <c r="W11" i="51" s="1"/>
  <c r="X11" i="51" s="1"/>
  <c r="AA11" i="51" s="1"/>
  <c r="U52" i="51"/>
  <c r="V52" i="51" s="1"/>
  <c r="W52" i="51" s="1"/>
  <c r="X52" i="51" s="1"/>
  <c r="U4" i="51"/>
  <c r="V4" i="51" s="1"/>
  <c r="W4" i="51" s="1"/>
  <c r="X4" i="51" s="1"/>
  <c r="U29" i="51"/>
  <c r="V29" i="51" s="1"/>
  <c r="W29" i="51" s="1"/>
  <c r="X29" i="51" s="1"/>
  <c r="U32" i="51"/>
  <c r="V32" i="51" s="1"/>
  <c r="W32" i="51" s="1"/>
  <c r="X32" i="51" s="1"/>
  <c r="U39" i="51"/>
  <c r="V39" i="51" s="1"/>
  <c r="W39" i="51" s="1"/>
  <c r="X39" i="51" s="1"/>
  <c r="U35" i="51"/>
  <c r="V35" i="51" s="1"/>
  <c r="W35" i="51" s="1"/>
  <c r="X35" i="51" s="1"/>
  <c r="U38" i="51"/>
  <c r="V38" i="51" s="1"/>
  <c r="W38" i="51" s="1"/>
  <c r="X38" i="51" s="1"/>
  <c r="U46" i="51"/>
  <c r="V46" i="51" s="1"/>
  <c r="W46" i="51" s="1"/>
  <c r="X46" i="51" s="1"/>
  <c r="U47" i="51"/>
  <c r="V47" i="51" s="1"/>
  <c r="W47" i="51" s="1"/>
  <c r="X47" i="51" s="1"/>
  <c r="U7" i="51"/>
  <c r="V7" i="51" s="1"/>
  <c r="W7" i="51" s="1"/>
  <c r="X7" i="51" s="1"/>
  <c r="U22" i="51"/>
  <c r="V22" i="51" s="1"/>
  <c r="W22" i="51" s="1"/>
  <c r="X22" i="51" s="1"/>
  <c r="U10" i="51"/>
  <c r="V10" i="51" s="1"/>
  <c r="W10" i="51" s="1"/>
  <c r="X10" i="51" s="1"/>
  <c r="U45" i="51"/>
  <c r="V45" i="51" s="1"/>
  <c r="W45" i="51" s="1"/>
  <c r="X45" i="51" s="1"/>
  <c r="U33" i="51"/>
  <c r="V33" i="51" s="1"/>
  <c r="W33" i="51" s="1"/>
  <c r="X33" i="51" s="1"/>
  <c r="U25" i="51"/>
  <c r="V25" i="51" s="1"/>
  <c r="W25" i="51" s="1"/>
  <c r="X25" i="51" s="1"/>
  <c r="U37" i="51"/>
  <c r="V37" i="51" s="1"/>
  <c r="W37" i="51" s="1"/>
  <c r="X37" i="51" s="1"/>
  <c r="U42" i="51"/>
  <c r="V42" i="51" s="1"/>
  <c r="W42" i="51" s="1"/>
  <c r="X42" i="51" s="1"/>
  <c r="U3" i="51"/>
  <c r="V3" i="51" s="1"/>
  <c r="W3" i="51" s="1"/>
  <c r="X3" i="51" s="1"/>
  <c r="U23" i="51"/>
  <c r="V23" i="51" s="1"/>
  <c r="W23" i="51" s="1"/>
  <c r="X23" i="51" s="1"/>
  <c r="U6" i="51"/>
  <c r="V6" i="51" s="1"/>
  <c r="W6" i="51" s="1"/>
  <c r="X6" i="51" s="1"/>
  <c r="U41" i="51"/>
  <c r="V41" i="51" s="1"/>
  <c r="W41" i="51" s="1"/>
  <c r="X41" i="51" s="1"/>
  <c r="D51" i="47"/>
  <c r="G58" i="47"/>
  <c r="F59" i="47"/>
  <c r="G59" i="47" s="1"/>
  <c r="G9" i="39"/>
  <c r="U26" i="43"/>
  <c r="V26" i="43" s="1"/>
  <c r="W26" i="43" s="1"/>
  <c r="X26" i="43" s="1"/>
  <c r="AA26" i="43" s="1"/>
  <c r="U30" i="43"/>
  <c r="V30" i="43" s="1"/>
  <c r="W30" i="43" s="1"/>
  <c r="X30" i="43" s="1"/>
  <c r="AA30" i="43" s="1"/>
  <c r="U12" i="43"/>
  <c r="V12" i="43" s="1"/>
  <c r="W12" i="43" s="1"/>
  <c r="X12" i="43" s="1"/>
  <c r="AA12" i="43" s="1"/>
  <c r="U18" i="43"/>
  <c r="V18" i="43" s="1"/>
  <c r="W18" i="43" s="1"/>
  <c r="X18" i="43" s="1"/>
  <c r="Z18" i="43" s="1"/>
  <c r="U19" i="43"/>
  <c r="V19" i="43" s="1"/>
  <c r="W19" i="43" s="1"/>
  <c r="X19" i="43" s="1"/>
  <c r="AA19" i="43" s="1"/>
  <c r="U28" i="43"/>
  <c r="V28" i="43" s="1"/>
  <c r="W28" i="43" s="1"/>
  <c r="X28" i="43" s="1"/>
  <c r="AA28" i="43" s="1"/>
  <c r="U27" i="43"/>
  <c r="V27" i="43" s="1"/>
  <c r="W27" i="43" s="1"/>
  <c r="X27" i="43" s="1"/>
  <c r="AA27" i="43" s="1"/>
  <c r="U22" i="43"/>
  <c r="V22" i="43" s="1"/>
  <c r="W22" i="43" s="1"/>
  <c r="X22" i="43" s="1"/>
  <c r="Z22" i="43" s="1"/>
  <c r="U7" i="43"/>
  <c r="V7" i="43" s="1"/>
  <c r="W7" i="43" s="1"/>
  <c r="X7" i="43" s="1"/>
  <c r="Z7" i="43" s="1"/>
  <c r="U17" i="43"/>
  <c r="V17" i="43" s="1"/>
  <c r="W17" i="43" s="1"/>
  <c r="X17" i="43" s="1"/>
  <c r="Y17" i="43" s="1"/>
  <c r="U23" i="43"/>
  <c r="V23" i="43" s="1"/>
  <c r="W23" i="43" s="1"/>
  <c r="X23" i="43" s="1"/>
  <c r="U8" i="43"/>
  <c r="V8" i="43" s="1"/>
  <c r="W8" i="43" s="1"/>
  <c r="X8" i="43" s="1"/>
  <c r="U10" i="43"/>
  <c r="V10" i="43" s="1"/>
  <c r="W10" i="43" s="1"/>
  <c r="X10" i="43" s="1"/>
  <c r="U11" i="43"/>
  <c r="V11" i="43" s="1"/>
  <c r="W11" i="43" s="1"/>
  <c r="X11" i="43" s="1"/>
  <c r="U9" i="43"/>
  <c r="V9" i="43" s="1"/>
  <c r="W9" i="43" s="1"/>
  <c r="X9" i="43" s="1"/>
  <c r="U25" i="43"/>
  <c r="V25" i="43" s="1"/>
  <c r="W25" i="43" s="1"/>
  <c r="X25" i="43" s="1"/>
  <c r="U3" i="43"/>
  <c r="V3" i="43" s="1"/>
  <c r="W3" i="43" s="1"/>
  <c r="X3" i="43" s="1"/>
  <c r="U20" i="43"/>
  <c r="V20" i="43" s="1"/>
  <c r="W20" i="43" s="1"/>
  <c r="X20" i="43" s="1"/>
  <c r="U6" i="43"/>
  <c r="V6" i="43" s="1"/>
  <c r="W6" i="43" s="1"/>
  <c r="X6" i="43" s="1"/>
  <c r="U4" i="43"/>
  <c r="V4" i="43" s="1"/>
  <c r="W4" i="43" s="1"/>
  <c r="X4" i="43" s="1"/>
  <c r="U5" i="43"/>
  <c r="V5" i="43" s="1"/>
  <c r="W5" i="43" s="1"/>
  <c r="X5" i="43" s="1"/>
  <c r="U29" i="43"/>
  <c r="V29" i="43" s="1"/>
  <c r="W29" i="43" s="1"/>
  <c r="X29" i="43" s="1"/>
  <c r="P14" i="40"/>
  <c r="Q14" i="40"/>
  <c r="R14" i="40" s="1"/>
  <c r="P13" i="40"/>
  <c r="Q13" i="40"/>
  <c r="R13" i="40" s="1"/>
  <c r="Q12" i="40"/>
  <c r="R12" i="40" s="1"/>
  <c r="P12" i="40"/>
  <c r="Q20" i="40"/>
  <c r="R20" i="40" s="1"/>
  <c r="P20" i="40"/>
  <c r="Q6" i="40"/>
  <c r="R6" i="40" s="1"/>
  <c r="P6" i="40"/>
  <c r="P21" i="40"/>
  <c r="Q21" i="40"/>
  <c r="R21" i="40" s="1"/>
  <c r="P18" i="40"/>
  <c r="Q18" i="40"/>
  <c r="R18" i="40" s="1"/>
  <c r="Q19" i="40"/>
  <c r="R19" i="40" s="1"/>
  <c r="P19" i="40"/>
  <c r="Q4" i="40"/>
  <c r="R4" i="40" s="1"/>
  <c r="P4" i="40"/>
  <c r="Q11" i="40"/>
  <c r="R11" i="40" s="1"/>
  <c r="P11" i="40"/>
  <c r="P8" i="40"/>
  <c r="Q8" i="40"/>
  <c r="R8" i="40" s="1"/>
  <c r="Q17" i="40"/>
  <c r="R17" i="40" s="1"/>
  <c r="P17" i="40"/>
  <c r="Q10" i="40"/>
  <c r="R10" i="40" s="1"/>
  <c r="P10" i="40"/>
  <c r="Q9" i="40"/>
  <c r="R9" i="40" s="1"/>
  <c r="P9" i="40"/>
  <c r="Q7" i="40"/>
  <c r="R7" i="40" s="1"/>
  <c r="P7" i="40"/>
  <c r="Q3" i="40"/>
  <c r="R3" i="40" s="1"/>
  <c r="P3" i="40"/>
  <c r="Q5" i="40"/>
  <c r="R5" i="40" s="1"/>
  <c r="P5" i="40"/>
  <c r="H20" i="38"/>
  <c r="H24" i="38"/>
  <c r="H28" i="38"/>
  <c r="H32" i="38"/>
  <c r="H36" i="38"/>
  <c r="H17" i="38"/>
  <c r="H18" i="38"/>
  <c r="H26" i="38"/>
  <c r="H34" i="38"/>
  <c r="H3" i="38"/>
  <c r="H19" i="38"/>
  <c r="H31" i="38"/>
  <c r="H39" i="38"/>
  <c r="H21" i="38"/>
  <c r="H25" i="38"/>
  <c r="H29" i="38"/>
  <c r="H33" i="38"/>
  <c r="H37" i="38"/>
  <c r="H4" i="38"/>
  <c r="H22" i="38"/>
  <c r="H30" i="38"/>
  <c r="H38" i="38"/>
  <c r="H23" i="38"/>
  <c r="H27" i="38"/>
  <c r="H35" i="38"/>
  <c r="H5" i="38"/>
  <c r="H6" i="38"/>
  <c r="H7" i="38"/>
  <c r="H8" i="38"/>
  <c r="H9" i="38"/>
  <c r="H10" i="38"/>
  <c r="H11" i="38"/>
  <c r="H12" i="38"/>
  <c r="H13" i="38"/>
  <c r="I5" i="38"/>
  <c r="H9" i="72" l="1"/>
  <c r="J9" i="72"/>
  <c r="J9" i="74"/>
  <c r="H9" i="74"/>
  <c r="I9" i="74" s="1"/>
  <c r="I12" i="74" s="1"/>
  <c r="H9" i="75"/>
  <c r="J9" i="75"/>
  <c r="K14" i="45"/>
  <c r="I15" i="45"/>
  <c r="L10" i="45"/>
  <c r="M10" i="45"/>
  <c r="N10" i="45" s="1"/>
  <c r="P9" i="45"/>
  <c r="Q9" i="45"/>
  <c r="R9" i="45" s="1"/>
  <c r="B11" i="45"/>
  <c r="U19" i="46"/>
  <c r="V19" i="46" s="1"/>
  <c r="W19" i="46" s="1"/>
  <c r="X19" i="46" s="1"/>
  <c r="Y19" i="46" s="1"/>
  <c r="U5" i="46"/>
  <c r="V5" i="46" s="1"/>
  <c r="W5" i="46" s="1"/>
  <c r="X5" i="46" s="1"/>
  <c r="Z5" i="46" s="1"/>
  <c r="U29" i="46"/>
  <c r="V29" i="46" s="1"/>
  <c r="W29" i="46" s="1"/>
  <c r="X29" i="46" s="1"/>
  <c r="Y29" i="46" s="1"/>
  <c r="U24" i="46"/>
  <c r="V24" i="46" s="1"/>
  <c r="W24" i="46" s="1"/>
  <c r="X24" i="46" s="1"/>
  <c r="Y24" i="46" s="1"/>
  <c r="U35" i="46"/>
  <c r="V35" i="46" s="1"/>
  <c r="W35" i="46" s="1"/>
  <c r="X35" i="46" s="1"/>
  <c r="Z35" i="46" s="1"/>
  <c r="Z39" i="46"/>
  <c r="U10" i="46"/>
  <c r="V10" i="46" s="1"/>
  <c r="W10" i="46" s="1"/>
  <c r="X10" i="46" s="1"/>
  <c r="Z10" i="46" s="1"/>
  <c r="U40" i="46"/>
  <c r="V40" i="46" s="1"/>
  <c r="W40" i="46" s="1"/>
  <c r="X40" i="46" s="1"/>
  <c r="Z40" i="46" s="1"/>
  <c r="U22" i="46"/>
  <c r="V22" i="46" s="1"/>
  <c r="W22" i="46" s="1"/>
  <c r="X22" i="46" s="1"/>
  <c r="Y22" i="46" s="1"/>
  <c r="U7" i="46"/>
  <c r="V7" i="46" s="1"/>
  <c r="W7" i="46" s="1"/>
  <c r="X7" i="46" s="1"/>
  <c r="Y7" i="46" s="1"/>
  <c r="U25" i="46"/>
  <c r="V25" i="46" s="1"/>
  <c r="W25" i="46" s="1"/>
  <c r="X25" i="46" s="1"/>
  <c r="Z25" i="46" s="1"/>
  <c r="AA39" i="46"/>
  <c r="U36" i="46"/>
  <c r="V36" i="46" s="1"/>
  <c r="W36" i="46" s="1"/>
  <c r="X36" i="46" s="1"/>
  <c r="U32" i="46"/>
  <c r="V32" i="46" s="1"/>
  <c r="W32" i="46" s="1"/>
  <c r="X32" i="46" s="1"/>
  <c r="Z32" i="46" s="1"/>
  <c r="U34" i="46"/>
  <c r="V34" i="46" s="1"/>
  <c r="W34" i="46" s="1"/>
  <c r="X34" i="46" s="1"/>
  <c r="AA34" i="46" s="1"/>
  <c r="U12" i="46"/>
  <c r="V12" i="46" s="1"/>
  <c r="W12" i="46" s="1"/>
  <c r="X12" i="46" s="1"/>
  <c r="U26" i="46"/>
  <c r="V26" i="46" s="1"/>
  <c r="W26" i="46" s="1"/>
  <c r="X26" i="46" s="1"/>
  <c r="U21" i="46"/>
  <c r="V21" i="46" s="1"/>
  <c r="W21" i="46" s="1"/>
  <c r="X21" i="46" s="1"/>
  <c r="U28" i="46"/>
  <c r="V28" i="46" s="1"/>
  <c r="W28" i="46" s="1"/>
  <c r="X28" i="46" s="1"/>
  <c r="U18" i="46"/>
  <c r="V18" i="46" s="1"/>
  <c r="W18" i="46" s="1"/>
  <c r="X18" i="46" s="1"/>
  <c r="U8" i="46"/>
  <c r="V8" i="46" s="1"/>
  <c r="W8" i="46" s="1"/>
  <c r="X8" i="46" s="1"/>
  <c r="AA19" i="46"/>
  <c r="U30" i="46"/>
  <c r="V30" i="46" s="1"/>
  <c r="W30" i="46" s="1"/>
  <c r="X30" i="46" s="1"/>
  <c r="U17" i="46"/>
  <c r="V17" i="46" s="1"/>
  <c r="W17" i="46" s="1"/>
  <c r="X17" i="46" s="1"/>
  <c r="Y5" i="46"/>
  <c r="AA24" i="46"/>
  <c r="U11" i="46"/>
  <c r="V11" i="46" s="1"/>
  <c r="W11" i="46" s="1"/>
  <c r="X11" i="46" s="1"/>
  <c r="U20" i="46"/>
  <c r="V20" i="46" s="1"/>
  <c r="W20" i="46" s="1"/>
  <c r="X20" i="46" s="1"/>
  <c r="U6" i="46"/>
  <c r="V6" i="46" s="1"/>
  <c r="W6" i="46" s="1"/>
  <c r="X6" i="46" s="1"/>
  <c r="U37" i="46"/>
  <c r="V37" i="46" s="1"/>
  <c r="W37" i="46" s="1"/>
  <c r="X37" i="46" s="1"/>
  <c r="U42" i="46"/>
  <c r="V42" i="46" s="1"/>
  <c r="W42" i="46" s="1"/>
  <c r="X42" i="46" s="1"/>
  <c r="U27" i="46"/>
  <c r="V27" i="46" s="1"/>
  <c r="W27" i="46" s="1"/>
  <c r="X27" i="46" s="1"/>
  <c r="U9" i="46"/>
  <c r="V9" i="46" s="1"/>
  <c r="W9" i="46" s="1"/>
  <c r="X9" i="46" s="1"/>
  <c r="U3" i="46"/>
  <c r="V3" i="46" s="1"/>
  <c r="W3" i="46" s="1"/>
  <c r="X3" i="46" s="1"/>
  <c r="U23" i="46"/>
  <c r="V23" i="46" s="1"/>
  <c r="W23" i="46" s="1"/>
  <c r="X23" i="46" s="1"/>
  <c r="Z24" i="46"/>
  <c r="U4" i="46"/>
  <c r="V4" i="46" s="1"/>
  <c r="W4" i="46" s="1"/>
  <c r="X4" i="46" s="1"/>
  <c r="U33" i="46"/>
  <c r="V33" i="46" s="1"/>
  <c r="W33" i="46" s="1"/>
  <c r="X33" i="46" s="1"/>
  <c r="U38" i="46"/>
  <c r="V38" i="46" s="1"/>
  <c r="W38" i="46" s="1"/>
  <c r="X38" i="46" s="1"/>
  <c r="U31" i="46"/>
  <c r="V31" i="46" s="1"/>
  <c r="W31" i="46" s="1"/>
  <c r="X31" i="46" s="1"/>
  <c r="U41" i="46"/>
  <c r="V41" i="46" s="1"/>
  <c r="W41" i="46" s="1"/>
  <c r="X41" i="46" s="1"/>
  <c r="Z9" i="51"/>
  <c r="Y9" i="51"/>
  <c r="AA21" i="43"/>
  <c r="Z21" i="43"/>
  <c r="AA43" i="51"/>
  <c r="Z43" i="51"/>
  <c r="Y24" i="43"/>
  <c r="AA24" i="43"/>
  <c r="S22" i="40"/>
  <c r="T25" i="40"/>
  <c r="S26" i="40"/>
  <c r="T23" i="40"/>
  <c r="T27" i="40"/>
  <c r="S28" i="40"/>
  <c r="T22" i="40"/>
  <c r="S23" i="40"/>
  <c r="T26" i="40"/>
  <c r="S27" i="40"/>
  <c r="S24" i="40"/>
  <c r="S25" i="40"/>
  <c r="T24" i="40"/>
  <c r="T28" i="40"/>
  <c r="Z27" i="51"/>
  <c r="Y27" i="51"/>
  <c r="Z19" i="51"/>
  <c r="AA21" i="51"/>
  <c r="Z21" i="51"/>
  <c r="AA44" i="51"/>
  <c r="Y44" i="51"/>
  <c r="AA34" i="51"/>
  <c r="Z34" i="51"/>
  <c r="AA19" i="51"/>
  <c r="Z26" i="43"/>
  <c r="Y26" i="43"/>
  <c r="AA24" i="51"/>
  <c r="AA30" i="51"/>
  <c r="Y24" i="51"/>
  <c r="Z30" i="51"/>
  <c r="AA49" i="51"/>
  <c r="AA5" i="51"/>
  <c r="Y49" i="51"/>
  <c r="Y5" i="51"/>
  <c r="AA51" i="51"/>
  <c r="Y51" i="51"/>
  <c r="AA18" i="51"/>
  <c r="Y18" i="51"/>
  <c r="Z12" i="51"/>
  <c r="Z40" i="51"/>
  <c r="Z20" i="51"/>
  <c r="Y40" i="51"/>
  <c r="Y20" i="51"/>
  <c r="Y12" i="51"/>
  <c r="AA8" i="51"/>
  <c r="Z8" i="51"/>
  <c r="Y28" i="51"/>
  <c r="AA26" i="51"/>
  <c r="Y26" i="51"/>
  <c r="Z31" i="51"/>
  <c r="Z11" i="51"/>
  <c r="AA31" i="51"/>
  <c r="Z17" i="51"/>
  <c r="Y50" i="51"/>
  <c r="AA17" i="51"/>
  <c r="AA50" i="51"/>
  <c r="Z28" i="51"/>
  <c r="Z48" i="51"/>
  <c r="AA48" i="51"/>
  <c r="Z36" i="51"/>
  <c r="Y36" i="51"/>
  <c r="Y11" i="51"/>
  <c r="Z52" i="51"/>
  <c r="Y52" i="51"/>
  <c r="AA52" i="51"/>
  <c r="Y23" i="51"/>
  <c r="Z23" i="51"/>
  <c r="AA23" i="51"/>
  <c r="Z37" i="51"/>
  <c r="Y37" i="51"/>
  <c r="AA37" i="51"/>
  <c r="Z38" i="51"/>
  <c r="Y38" i="51"/>
  <c r="AA38" i="51"/>
  <c r="Y29" i="51"/>
  <c r="Z29" i="51"/>
  <c r="AA29" i="51"/>
  <c r="Y25" i="51"/>
  <c r="Z25" i="51"/>
  <c r="AA25" i="51"/>
  <c r="Y33" i="51"/>
  <c r="Z33" i="51"/>
  <c r="AA33" i="51"/>
  <c r="Y45" i="51"/>
  <c r="Z45" i="51"/>
  <c r="AA45" i="51"/>
  <c r="Y10" i="51"/>
  <c r="Z10" i="51"/>
  <c r="AA10" i="51"/>
  <c r="Z35" i="51"/>
  <c r="Y35" i="51"/>
  <c r="AA35" i="51"/>
  <c r="Y4" i="51"/>
  <c r="Z4" i="51"/>
  <c r="AA4" i="51"/>
  <c r="Z42" i="51"/>
  <c r="Y42" i="51"/>
  <c r="AA42" i="51"/>
  <c r="Z22" i="51"/>
  <c r="Y22" i="51"/>
  <c r="AA22" i="51"/>
  <c r="Y47" i="51"/>
  <c r="Z47" i="51"/>
  <c r="AA47" i="51"/>
  <c r="Y39" i="51"/>
  <c r="Z39" i="51"/>
  <c r="AA39" i="51"/>
  <c r="Y41" i="51"/>
  <c r="Z41" i="51"/>
  <c r="AA41" i="51"/>
  <c r="Y6" i="51"/>
  <c r="Z6" i="51"/>
  <c r="AA6" i="51"/>
  <c r="Y3" i="51"/>
  <c r="Z3" i="51"/>
  <c r="AA3" i="51"/>
  <c r="Z7" i="51"/>
  <c r="Y7" i="51"/>
  <c r="AA7" i="51"/>
  <c r="Z46" i="51"/>
  <c r="Y46" i="51"/>
  <c r="AA46" i="51"/>
  <c r="Z32" i="51"/>
  <c r="Y32" i="51"/>
  <c r="AA32" i="51"/>
  <c r="J9" i="39"/>
  <c r="H9" i="39"/>
  <c r="AB21" i="38"/>
  <c r="D52" i="47"/>
  <c r="Y28" i="43"/>
  <c r="AA18" i="43"/>
  <c r="Y18" i="43"/>
  <c r="Y12" i="43"/>
  <c r="AA17" i="43"/>
  <c r="Y30" i="43"/>
  <c r="Z30" i="43"/>
  <c r="Z28" i="43"/>
  <c r="Y19" i="43"/>
  <c r="Z12" i="43"/>
  <c r="Z19" i="43"/>
  <c r="AA22" i="43"/>
  <c r="Z27" i="43"/>
  <c r="Y27" i="43"/>
  <c r="AA7" i="43"/>
  <c r="Z17" i="43"/>
  <c r="Y7" i="43"/>
  <c r="Y22" i="43"/>
  <c r="Y4" i="43"/>
  <c r="Z4" i="43"/>
  <c r="AA4" i="43"/>
  <c r="Z10" i="43"/>
  <c r="Y10" i="43"/>
  <c r="AA10" i="43"/>
  <c r="Z29" i="43"/>
  <c r="Y29" i="43"/>
  <c r="AA29" i="43"/>
  <c r="Z6" i="43"/>
  <c r="Y6" i="43"/>
  <c r="AA6" i="43"/>
  <c r="Y25" i="43"/>
  <c r="Z25" i="43"/>
  <c r="AA25" i="43"/>
  <c r="Y8" i="43"/>
  <c r="Z8" i="43"/>
  <c r="AA8" i="43"/>
  <c r="Z20" i="43"/>
  <c r="Y20" i="43"/>
  <c r="AA20" i="43"/>
  <c r="Z9" i="43"/>
  <c r="Y9" i="43"/>
  <c r="AA9" i="43"/>
  <c r="Z23" i="43"/>
  <c r="Y23" i="43"/>
  <c r="AA23" i="43"/>
  <c r="Y5" i="43"/>
  <c r="Z5" i="43"/>
  <c r="AA5" i="43"/>
  <c r="Y3" i="43"/>
  <c r="Z3" i="43"/>
  <c r="AA3" i="43"/>
  <c r="Y11" i="43"/>
  <c r="Z11" i="43"/>
  <c r="AA11" i="43"/>
  <c r="S13" i="40"/>
  <c r="T13" i="40"/>
  <c r="S14" i="40"/>
  <c r="T14" i="40"/>
  <c r="T12" i="40"/>
  <c r="S12" i="40"/>
  <c r="T21" i="40"/>
  <c r="T18" i="40"/>
  <c r="S21" i="40"/>
  <c r="T20" i="40"/>
  <c r="S18" i="40"/>
  <c r="S17" i="40"/>
  <c r="S20" i="40"/>
  <c r="T19" i="40"/>
  <c r="T17" i="40"/>
  <c r="S9" i="40"/>
  <c r="T8" i="40"/>
  <c r="S5" i="40"/>
  <c r="S19" i="40"/>
  <c r="T11" i="40"/>
  <c r="S8" i="40"/>
  <c r="T7" i="40"/>
  <c r="T4" i="40"/>
  <c r="S11" i="40"/>
  <c r="T10" i="40"/>
  <c r="S7" i="40"/>
  <c r="T6" i="40"/>
  <c r="S4" i="40"/>
  <c r="S6" i="40"/>
  <c r="T9" i="40"/>
  <c r="T5" i="40"/>
  <c r="T3" i="40"/>
  <c r="S10" i="40"/>
  <c r="S3" i="40"/>
  <c r="J3" i="38"/>
  <c r="B17" i="38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J39" i="38" s="1"/>
  <c r="B4" i="38"/>
  <c r="I6" i="38"/>
  <c r="I9" i="72" l="1"/>
  <c r="I12" i="72" s="1"/>
  <c r="I9" i="75"/>
  <c r="I12" i="75" s="1"/>
  <c r="J11" i="45"/>
  <c r="L11" i="45" s="1"/>
  <c r="B12" i="45"/>
  <c r="I16" i="45"/>
  <c r="K15" i="45"/>
  <c r="P10" i="45"/>
  <c r="Q10" i="45"/>
  <c r="R10" i="45" s="1"/>
  <c r="Z19" i="46"/>
  <c r="Z29" i="46"/>
  <c r="AA29" i="46"/>
  <c r="AA5" i="46"/>
  <c r="AA35" i="46"/>
  <c r="Y35" i="46"/>
  <c r="AA40" i="46"/>
  <c r="Y10" i="46"/>
  <c r="AA10" i="46"/>
  <c r="Y40" i="46"/>
  <c r="AA25" i="46"/>
  <c r="Y25" i="46"/>
  <c r="Z22" i="46"/>
  <c r="AA22" i="46"/>
  <c r="AA7" i="46"/>
  <c r="Z7" i="46"/>
  <c r="Y34" i="46"/>
  <c r="Z34" i="46"/>
  <c r="AA36" i="46"/>
  <c r="Y36" i="46"/>
  <c r="Z36" i="46"/>
  <c r="Z26" i="46"/>
  <c r="AA26" i="46"/>
  <c r="Y26" i="46"/>
  <c r="Z12" i="46"/>
  <c r="Y12" i="46"/>
  <c r="AA12" i="46"/>
  <c r="AA32" i="46"/>
  <c r="Y32" i="46"/>
  <c r="Y4" i="46"/>
  <c r="Z4" i="46"/>
  <c r="AA4" i="46"/>
  <c r="Z33" i="46"/>
  <c r="AA33" i="46"/>
  <c r="Y33" i="46"/>
  <c r="Z37" i="46"/>
  <c r="Y37" i="46"/>
  <c r="AA37" i="46"/>
  <c r="AA11" i="46"/>
  <c r="Y11" i="46"/>
  <c r="Z11" i="46"/>
  <c r="AA18" i="46"/>
  <c r="Y18" i="46"/>
  <c r="Z18" i="46"/>
  <c r="AA20" i="46"/>
  <c r="Y20" i="46"/>
  <c r="Z20" i="46"/>
  <c r="Z6" i="46"/>
  <c r="Y6" i="46"/>
  <c r="AA6" i="46"/>
  <c r="Y28" i="46"/>
  <c r="AA28" i="46"/>
  <c r="Z28" i="46"/>
  <c r="Z27" i="46"/>
  <c r="Y27" i="46"/>
  <c r="AA27" i="46"/>
  <c r="AA23" i="46"/>
  <c r="Y23" i="46"/>
  <c r="Z23" i="46"/>
  <c r="Y3" i="46"/>
  <c r="AA3" i="46"/>
  <c r="Z3" i="46"/>
  <c r="Y41" i="46"/>
  <c r="Z41" i="46"/>
  <c r="AA41" i="46"/>
  <c r="Z9" i="46"/>
  <c r="Y9" i="46"/>
  <c r="AA9" i="46"/>
  <c r="AA21" i="46"/>
  <c r="Y21" i="46"/>
  <c r="Z21" i="46"/>
  <c r="Y8" i="46"/>
  <c r="Z8" i="46"/>
  <c r="AA8" i="46"/>
  <c r="Z17" i="46"/>
  <c r="Y17" i="46"/>
  <c r="AA17" i="46"/>
  <c r="Y42" i="46"/>
  <c r="Z42" i="46"/>
  <c r="AA42" i="46"/>
  <c r="Z31" i="46"/>
  <c r="Y31" i="46"/>
  <c r="AA31" i="46"/>
  <c r="Z38" i="46"/>
  <c r="Y38" i="46"/>
  <c r="AA38" i="46"/>
  <c r="Z30" i="46"/>
  <c r="AA30" i="46"/>
  <c r="Y30" i="46"/>
  <c r="U23" i="40"/>
  <c r="V23" i="40" s="1"/>
  <c r="W23" i="40" s="1"/>
  <c r="X23" i="40" s="1"/>
  <c r="Z23" i="40" s="1"/>
  <c r="U27" i="40"/>
  <c r="V27" i="40" s="1"/>
  <c r="W27" i="40" s="1"/>
  <c r="X27" i="40" s="1"/>
  <c r="Y27" i="40" s="1"/>
  <c r="U25" i="40"/>
  <c r="V25" i="40" s="1"/>
  <c r="W25" i="40" s="1"/>
  <c r="X25" i="40" s="1"/>
  <c r="Z25" i="40" s="1"/>
  <c r="U24" i="40"/>
  <c r="V24" i="40" s="1"/>
  <c r="W24" i="40" s="1"/>
  <c r="X24" i="40" s="1"/>
  <c r="U26" i="40"/>
  <c r="V26" i="40" s="1"/>
  <c r="W26" i="40" s="1"/>
  <c r="X26" i="40" s="1"/>
  <c r="U28" i="40"/>
  <c r="V28" i="40" s="1"/>
  <c r="W28" i="40" s="1"/>
  <c r="X28" i="40" s="1"/>
  <c r="U22" i="40"/>
  <c r="V22" i="40" s="1"/>
  <c r="W22" i="40" s="1"/>
  <c r="X22" i="40" s="1"/>
  <c r="U21" i="40"/>
  <c r="V21" i="40" s="1"/>
  <c r="W21" i="40" s="1"/>
  <c r="X21" i="40" s="1"/>
  <c r="AA21" i="40" s="1"/>
  <c r="I9" i="39"/>
  <c r="I12" i="39" s="1"/>
  <c r="Y60" i="51"/>
  <c r="Y61" i="51" s="1"/>
  <c r="AA60" i="51"/>
  <c r="AA61" i="51" s="1"/>
  <c r="Z60" i="51"/>
  <c r="D53" i="47"/>
  <c r="AA60" i="43"/>
  <c r="AA61" i="43" s="1"/>
  <c r="Y60" i="43"/>
  <c r="Y61" i="43" s="1"/>
  <c r="Z60" i="43"/>
  <c r="U19" i="40"/>
  <c r="V19" i="40" s="1"/>
  <c r="W19" i="40" s="1"/>
  <c r="X19" i="40" s="1"/>
  <c r="Y19" i="40" s="1"/>
  <c r="U13" i="40"/>
  <c r="V13" i="40" s="1"/>
  <c r="W13" i="40" s="1"/>
  <c r="X13" i="40" s="1"/>
  <c r="Z13" i="40" s="1"/>
  <c r="U14" i="40"/>
  <c r="V14" i="40" s="1"/>
  <c r="W14" i="40" s="1"/>
  <c r="X14" i="40" s="1"/>
  <c r="U18" i="40"/>
  <c r="V18" i="40" s="1"/>
  <c r="W18" i="40" s="1"/>
  <c r="X18" i="40" s="1"/>
  <c r="Z18" i="40" s="1"/>
  <c r="U11" i="40"/>
  <c r="V11" i="40" s="1"/>
  <c r="W11" i="40" s="1"/>
  <c r="X11" i="40" s="1"/>
  <c r="Y11" i="40" s="1"/>
  <c r="U12" i="40"/>
  <c r="V12" i="40" s="1"/>
  <c r="W12" i="40" s="1"/>
  <c r="X12" i="40" s="1"/>
  <c r="U3" i="40"/>
  <c r="V3" i="40" s="1"/>
  <c r="W3" i="40" s="1"/>
  <c r="X3" i="40" s="1"/>
  <c r="AA3" i="40" s="1"/>
  <c r="U4" i="40"/>
  <c r="V4" i="40" s="1"/>
  <c r="W4" i="40" s="1"/>
  <c r="X4" i="40" s="1"/>
  <c r="AA4" i="40" s="1"/>
  <c r="U8" i="40"/>
  <c r="V8" i="40" s="1"/>
  <c r="W8" i="40" s="1"/>
  <c r="X8" i="40" s="1"/>
  <c r="Y8" i="40" s="1"/>
  <c r="U20" i="40"/>
  <c r="V20" i="40" s="1"/>
  <c r="W20" i="40" s="1"/>
  <c r="X20" i="40" s="1"/>
  <c r="Y20" i="40" s="1"/>
  <c r="U9" i="40"/>
  <c r="V9" i="40" s="1"/>
  <c r="W9" i="40" s="1"/>
  <c r="X9" i="40" s="1"/>
  <c r="Z9" i="40" s="1"/>
  <c r="U10" i="40"/>
  <c r="V10" i="40" s="1"/>
  <c r="W10" i="40" s="1"/>
  <c r="X10" i="40" s="1"/>
  <c r="U5" i="40"/>
  <c r="V5" i="40" s="1"/>
  <c r="W5" i="40" s="1"/>
  <c r="X5" i="40" s="1"/>
  <c r="U6" i="40"/>
  <c r="V6" i="40" s="1"/>
  <c r="W6" i="40" s="1"/>
  <c r="X6" i="40" s="1"/>
  <c r="U7" i="40"/>
  <c r="V7" i="40" s="1"/>
  <c r="W7" i="40" s="1"/>
  <c r="X7" i="40" s="1"/>
  <c r="U17" i="40"/>
  <c r="V17" i="40" s="1"/>
  <c r="W17" i="40" s="1"/>
  <c r="X17" i="40" s="1"/>
  <c r="J31" i="38"/>
  <c r="J34" i="38"/>
  <c r="L3" i="38"/>
  <c r="M3" i="38"/>
  <c r="N3" i="38" s="1"/>
  <c r="J29" i="38"/>
  <c r="J23" i="38"/>
  <c r="J33" i="38"/>
  <c r="J24" i="38"/>
  <c r="J38" i="38"/>
  <c r="L39" i="38"/>
  <c r="M39" i="38"/>
  <c r="N39" i="38" s="1"/>
  <c r="J19" i="38"/>
  <c r="J32" i="38"/>
  <c r="J22" i="38"/>
  <c r="J20" i="38"/>
  <c r="J30" i="38"/>
  <c r="J17" i="38"/>
  <c r="J28" i="38"/>
  <c r="J18" i="38"/>
  <c r="J37" i="38"/>
  <c r="J4" i="38"/>
  <c r="B5" i="38"/>
  <c r="J26" i="38"/>
  <c r="J27" i="38"/>
  <c r="J36" i="38"/>
  <c r="J35" i="38"/>
  <c r="J21" i="38"/>
  <c r="J25" i="38"/>
  <c r="I7" i="38"/>
  <c r="K16" i="45" l="1"/>
  <c r="I17" i="45"/>
  <c r="M11" i="45"/>
  <c r="N11" i="45" s="1"/>
  <c r="P11" i="45" s="1"/>
  <c r="B13" i="45"/>
  <c r="J12" i="45"/>
  <c r="AA60" i="46"/>
  <c r="AA61" i="46" s="1"/>
  <c r="Y60" i="46"/>
  <c r="Y61" i="46" s="1"/>
  <c r="Z60" i="46"/>
  <c r="Y23" i="40"/>
  <c r="AA23" i="40"/>
  <c r="Z27" i="40"/>
  <c r="AA27" i="40"/>
  <c r="AA25" i="40"/>
  <c r="Y25" i="40"/>
  <c r="Z21" i="40"/>
  <c r="Y21" i="40"/>
  <c r="AA19" i="40"/>
  <c r="Y26" i="40"/>
  <c r="Z26" i="40"/>
  <c r="AA26" i="40"/>
  <c r="Y22" i="40"/>
  <c r="Z22" i="40"/>
  <c r="AA22" i="40"/>
  <c r="Y28" i="40"/>
  <c r="Z28" i="40"/>
  <c r="AA28" i="40"/>
  <c r="Y24" i="40"/>
  <c r="Z24" i="40"/>
  <c r="AA24" i="40"/>
  <c r="Z19" i="40"/>
  <c r="AA18" i="40"/>
  <c r="Y18" i="40"/>
  <c r="I17" i="52"/>
  <c r="K17" i="52" s="1"/>
  <c r="I3" i="52"/>
  <c r="I18" i="52"/>
  <c r="K18" i="52" s="1"/>
  <c r="I21" i="52"/>
  <c r="K21" i="52" s="1"/>
  <c r="I20" i="52"/>
  <c r="K20" i="52" s="1"/>
  <c r="I19" i="52"/>
  <c r="K19" i="52" s="1"/>
  <c r="I23" i="52"/>
  <c r="K23" i="52" s="1"/>
  <c r="I22" i="52"/>
  <c r="K22" i="52" s="1"/>
  <c r="I25" i="52"/>
  <c r="K25" i="52" s="1"/>
  <c r="I24" i="52"/>
  <c r="K24" i="52" s="1"/>
  <c r="I26" i="52"/>
  <c r="K26" i="52" s="1"/>
  <c r="I27" i="52"/>
  <c r="K27" i="52" s="1"/>
  <c r="I28" i="52"/>
  <c r="K28" i="52" s="1"/>
  <c r="I29" i="52"/>
  <c r="K29" i="52" s="1"/>
  <c r="I30" i="52"/>
  <c r="K30" i="52" s="1"/>
  <c r="I31" i="52"/>
  <c r="K31" i="52" s="1"/>
  <c r="I32" i="52"/>
  <c r="K32" i="52" s="1"/>
  <c r="AB61" i="51"/>
  <c r="Z61" i="51"/>
  <c r="S3" i="39"/>
  <c r="S15" i="39" s="1"/>
  <c r="S16" i="39" s="1"/>
  <c r="D54" i="47"/>
  <c r="Z61" i="43"/>
  <c r="AB61" i="43"/>
  <c r="Y13" i="40"/>
  <c r="AA13" i="40"/>
  <c r="AA20" i="40"/>
  <c r="Z14" i="40"/>
  <c r="Y14" i="40"/>
  <c r="AA14" i="40"/>
  <c r="AA11" i="40"/>
  <c r="Y3" i="40"/>
  <c r="Z11" i="40"/>
  <c r="Z3" i="40"/>
  <c r="Y4" i="40"/>
  <c r="Z4" i="40"/>
  <c r="Y12" i="40"/>
  <c r="Z12" i="40"/>
  <c r="AA12" i="40"/>
  <c r="Z20" i="40"/>
  <c r="Z8" i="40"/>
  <c r="AA8" i="40"/>
  <c r="AA9" i="40"/>
  <c r="Y9" i="40"/>
  <c r="Y7" i="40"/>
  <c r="Z7" i="40"/>
  <c r="AA7" i="40"/>
  <c r="Z6" i="40"/>
  <c r="Y6" i="40"/>
  <c r="AA6" i="40"/>
  <c r="Z10" i="40"/>
  <c r="Y10" i="40"/>
  <c r="AA10" i="40"/>
  <c r="Z5" i="40"/>
  <c r="Y5" i="40"/>
  <c r="AA5" i="40"/>
  <c r="Z17" i="40"/>
  <c r="Y17" i="40"/>
  <c r="AA17" i="40"/>
  <c r="L27" i="38"/>
  <c r="M27" i="38"/>
  <c r="N27" i="38" s="1"/>
  <c r="L19" i="38"/>
  <c r="M19" i="38"/>
  <c r="N19" i="38" s="1"/>
  <c r="L18" i="38"/>
  <c r="M18" i="38"/>
  <c r="N18" i="38" s="1"/>
  <c r="M20" i="38"/>
  <c r="N20" i="38" s="1"/>
  <c r="L20" i="38"/>
  <c r="Q39" i="38"/>
  <c r="R39" i="38" s="1"/>
  <c r="P39" i="38"/>
  <c r="L33" i="38"/>
  <c r="M33" i="38"/>
  <c r="N33" i="38" s="1"/>
  <c r="L25" i="38"/>
  <c r="M25" i="38"/>
  <c r="N25" i="38" s="1"/>
  <c r="L37" i="38"/>
  <c r="M37" i="38"/>
  <c r="N37" i="38" s="1"/>
  <c r="L30" i="38"/>
  <c r="M30" i="38"/>
  <c r="N30" i="38" s="1"/>
  <c r="L24" i="38"/>
  <c r="M24" i="38"/>
  <c r="N24" i="38" s="1"/>
  <c r="L26" i="38"/>
  <c r="M26" i="38"/>
  <c r="N26" i="38" s="1"/>
  <c r="L35" i="38"/>
  <c r="M35" i="38"/>
  <c r="N35" i="38" s="1"/>
  <c r="J5" i="38"/>
  <c r="B6" i="38"/>
  <c r="L28" i="38"/>
  <c r="M28" i="38"/>
  <c r="N28" i="38" s="1"/>
  <c r="L22" i="38"/>
  <c r="M22" i="38"/>
  <c r="N22" i="38" s="1"/>
  <c r="M23" i="38"/>
  <c r="N23" i="38" s="1"/>
  <c r="L23" i="38"/>
  <c r="L34" i="38"/>
  <c r="M34" i="38"/>
  <c r="N34" i="38" s="1"/>
  <c r="P3" i="38"/>
  <c r="Q3" i="38"/>
  <c r="R3" i="38" s="1"/>
  <c r="L21" i="38"/>
  <c r="M21" i="38"/>
  <c r="N21" i="38" s="1"/>
  <c r="L36" i="38"/>
  <c r="M36" i="38"/>
  <c r="N36" i="38" s="1"/>
  <c r="L4" i="38"/>
  <c r="M4" i="38"/>
  <c r="N4" i="38" s="1"/>
  <c r="L17" i="38"/>
  <c r="M17" i="38"/>
  <c r="N17" i="38" s="1"/>
  <c r="L32" i="38"/>
  <c r="M32" i="38"/>
  <c r="N32" i="38" s="1"/>
  <c r="L38" i="38"/>
  <c r="M38" i="38"/>
  <c r="N38" i="38" s="1"/>
  <c r="L29" i="38"/>
  <c r="M29" i="38"/>
  <c r="N29" i="38" s="1"/>
  <c r="L31" i="38"/>
  <c r="M31" i="38"/>
  <c r="N31" i="38" s="1"/>
  <c r="I8" i="38"/>
  <c r="I18" i="45" l="1"/>
  <c r="K17" i="45"/>
  <c r="Q11" i="45"/>
  <c r="R11" i="45" s="1"/>
  <c r="L12" i="45"/>
  <c r="M12" i="45"/>
  <c r="N12" i="45" s="1"/>
  <c r="B14" i="45"/>
  <c r="J13" i="45"/>
  <c r="N2" i="39"/>
  <c r="N3" i="39" s="1"/>
  <c r="N15" i="39" s="1"/>
  <c r="N16" i="39" s="1"/>
  <c r="N2" i="75"/>
  <c r="N3" i="75" s="1"/>
  <c r="N15" i="75" s="1"/>
  <c r="N16" i="75" s="1"/>
  <c r="N2" i="74"/>
  <c r="N3" i="74" s="1"/>
  <c r="N15" i="74" s="1"/>
  <c r="N16" i="74" s="1"/>
  <c r="N2" i="72"/>
  <c r="N3" i="72" s="1"/>
  <c r="N15" i="72" s="1"/>
  <c r="N16" i="72" s="1"/>
  <c r="I22" i="39"/>
  <c r="I23" i="39" s="1"/>
  <c r="I35" i="39" s="1"/>
  <c r="I36" i="39" s="1"/>
  <c r="I22" i="75"/>
  <c r="I23" i="75" s="1"/>
  <c r="I35" i="75" s="1"/>
  <c r="I36" i="75" s="1"/>
  <c r="I22" i="74"/>
  <c r="I23" i="74" s="1"/>
  <c r="I35" i="74" s="1"/>
  <c r="I36" i="74" s="1"/>
  <c r="I22" i="72"/>
  <c r="I23" i="72" s="1"/>
  <c r="I35" i="72" s="1"/>
  <c r="I36" i="72" s="1"/>
  <c r="Z61" i="46"/>
  <c r="AC2" i="75" s="1"/>
  <c r="AC3" i="75" s="1"/>
  <c r="AC15" i="75" s="1"/>
  <c r="AC16" i="75" s="1"/>
  <c r="AB61" i="46"/>
  <c r="AA60" i="40"/>
  <c r="AA61" i="40" s="1"/>
  <c r="AB4" i="52"/>
  <c r="I4" i="52"/>
  <c r="I5" i="52" s="1"/>
  <c r="I6" i="52" s="1"/>
  <c r="I7" i="52" s="1"/>
  <c r="I8" i="52" s="1"/>
  <c r="I9" i="52" s="1"/>
  <c r="I10" i="52" s="1"/>
  <c r="I11" i="52" s="1"/>
  <c r="I12" i="52" s="1"/>
  <c r="K3" i="52"/>
  <c r="K4" i="52" s="1"/>
  <c r="K5" i="52" s="1"/>
  <c r="K6" i="52" s="1"/>
  <c r="K7" i="52" s="1"/>
  <c r="K8" i="52" s="1"/>
  <c r="K9" i="52" s="1"/>
  <c r="K10" i="52" s="1"/>
  <c r="K11" i="52" s="1"/>
  <c r="K12" i="52" s="1"/>
  <c r="AB3" i="52"/>
  <c r="D55" i="47"/>
  <c r="D56" i="47" s="1"/>
  <c r="D57" i="47" s="1"/>
  <c r="D58" i="47" s="1"/>
  <c r="D59" i="47" s="1"/>
  <c r="I59" i="47" s="1"/>
  <c r="K59" i="47" s="1"/>
  <c r="I51" i="47"/>
  <c r="K51" i="47" s="1"/>
  <c r="Y60" i="40"/>
  <c r="Y61" i="40" s="1"/>
  <c r="Z60" i="40"/>
  <c r="Z61" i="40" s="1"/>
  <c r="P19" i="38"/>
  <c r="Q19" i="38"/>
  <c r="R19" i="38" s="1"/>
  <c r="Q29" i="38"/>
  <c r="R29" i="38" s="1"/>
  <c r="P29" i="38"/>
  <c r="P32" i="38"/>
  <c r="Q32" i="38"/>
  <c r="R32" i="38" s="1"/>
  <c r="P4" i="38"/>
  <c r="Q4" i="38"/>
  <c r="R4" i="38" s="1"/>
  <c r="P21" i="38"/>
  <c r="Q21" i="38"/>
  <c r="R21" i="38" s="1"/>
  <c r="P34" i="38"/>
  <c r="Q34" i="38"/>
  <c r="R34" i="38" s="1"/>
  <c r="P22" i="38"/>
  <c r="Q22" i="38"/>
  <c r="R22" i="38" s="1"/>
  <c r="J6" i="38"/>
  <c r="B7" i="38"/>
  <c r="P26" i="38"/>
  <c r="Q26" i="38"/>
  <c r="R26" i="38" s="1"/>
  <c r="P30" i="38"/>
  <c r="Q30" i="38"/>
  <c r="R30" i="38" s="1"/>
  <c r="P25" i="38"/>
  <c r="Q25" i="38"/>
  <c r="R25" i="38" s="1"/>
  <c r="L5" i="38"/>
  <c r="M5" i="38"/>
  <c r="N5" i="38" s="1"/>
  <c r="P18" i="38"/>
  <c r="Q18" i="38"/>
  <c r="R18" i="38" s="1"/>
  <c r="P27" i="38"/>
  <c r="Q27" i="38"/>
  <c r="R27" i="38" s="1"/>
  <c r="P23" i="38"/>
  <c r="Q23" i="38"/>
  <c r="R23" i="38" s="1"/>
  <c r="Q31" i="38"/>
  <c r="R31" i="38" s="1"/>
  <c r="P31" i="38"/>
  <c r="Q38" i="38"/>
  <c r="R38" i="38" s="1"/>
  <c r="P38" i="38"/>
  <c r="P17" i="38"/>
  <c r="Q17" i="38"/>
  <c r="R17" i="38" s="1"/>
  <c r="Q36" i="38"/>
  <c r="R36" i="38" s="1"/>
  <c r="P36" i="38"/>
  <c r="P28" i="38"/>
  <c r="Q28" i="38"/>
  <c r="R28" i="38" s="1"/>
  <c r="Q35" i="38"/>
  <c r="R35" i="38" s="1"/>
  <c r="P35" i="38"/>
  <c r="Q24" i="38"/>
  <c r="R24" i="38" s="1"/>
  <c r="P24" i="38"/>
  <c r="P37" i="38"/>
  <c r="Q37" i="38"/>
  <c r="R37" i="38" s="1"/>
  <c r="P33" i="38"/>
  <c r="Q33" i="38"/>
  <c r="R33" i="38" s="1"/>
  <c r="Q20" i="38"/>
  <c r="R20" i="38" s="1"/>
  <c r="P20" i="38"/>
  <c r="I9" i="38"/>
  <c r="I19" i="45" l="1"/>
  <c r="K18" i="45"/>
  <c r="B15" i="45"/>
  <c r="J14" i="45"/>
  <c r="P12" i="45"/>
  <c r="Q12" i="45"/>
  <c r="R12" i="45" s="1"/>
  <c r="M13" i="45"/>
  <c r="N13" i="45" s="1"/>
  <c r="L13" i="45"/>
  <c r="E2" i="72"/>
  <c r="E3" i="72" s="1"/>
  <c r="E15" i="72" s="1"/>
  <c r="E16" i="72" s="1"/>
  <c r="E17" i="72" s="1"/>
  <c r="D2" i="39"/>
  <c r="D3" i="39" s="1"/>
  <c r="E2" i="74"/>
  <c r="E3" i="74" s="1"/>
  <c r="E15" i="74" s="1"/>
  <c r="E16" i="74" s="1"/>
  <c r="E17" i="74" s="1"/>
  <c r="AC2" i="39"/>
  <c r="AC3" i="39" s="1"/>
  <c r="AC15" i="39" s="1"/>
  <c r="AC16" i="39" s="1"/>
  <c r="AC2" i="74"/>
  <c r="AC3" i="74" s="1"/>
  <c r="AC15" i="74" s="1"/>
  <c r="AC16" i="74" s="1"/>
  <c r="AC2" i="72"/>
  <c r="AC3" i="72" s="1"/>
  <c r="AC15" i="72" s="1"/>
  <c r="AC16" i="72" s="1"/>
  <c r="I41" i="47"/>
  <c r="K41" i="47" s="1"/>
  <c r="I45" i="47"/>
  <c r="K45" i="47" s="1"/>
  <c r="I47" i="47"/>
  <c r="K47" i="47" s="1"/>
  <c r="I39" i="47"/>
  <c r="K39" i="47" s="1"/>
  <c r="I57" i="47"/>
  <c r="K57" i="47" s="1"/>
  <c r="I37" i="47"/>
  <c r="K37" i="47" s="1"/>
  <c r="I50" i="47"/>
  <c r="K50" i="47" s="1"/>
  <c r="I53" i="47"/>
  <c r="K53" i="47" s="1"/>
  <c r="I43" i="47"/>
  <c r="K43" i="47" s="1"/>
  <c r="I44" i="47"/>
  <c r="K44" i="47" s="1"/>
  <c r="H38" i="52"/>
  <c r="J38" i="52" s="1"/>
  <c r="H42" i="52"/>
  <c r="J42" i="52" s="1"/>
  <c r="H41" i="52"/>
  <c r="J41" i="52" s="1"/>
  <c r="H39" i="52"/>
  <c r="J39" i="52" s="1"/>
  <c r="H43" i="52"/>
  <c r="J43" i="52" s="1"/>
  <c r="H37" i="52"/>
  <c r="J37" i="52" s="1"/>
  <c r="H36" i="52"/>
  <c r="J36" i="52" s="1"/>
  <c r="H40" i="52"/>
  <c r="J40" i="52" s="1"/>
  <c r="H44" i="52"/>
  <c r="J44" i="52" s="1"/>
  <c r="AB17" i="52"/>
  <c r="H35" i="52"/>
  <c r="J35" i="52" s="1"/>
  <c r="H33" i="52"/>
  <c r="J33" i="52" s="1"/>
  <c r="H34" i="52"/>
  <c r="J34" i="52" s="1"/>
  <c r="H30" i="52"/>
  <c r="J30" i="52" s="1"/>
  <c r="H26" i="52"/>
  <c r="J26" i="52" s="1"/>
  <c r="H31" i="52"/>
  <c r="J31" i="52" s="1"/>
  <c r="H28" i="52"/>
  <c r="J28" i="52" s="1"/>
  <c r="H24" i="52"/>
  <c r="J24" i="52" s="1"/>
  <c r="H21" i="52"/>
  <c r="J21" i="52" s="1"/>
  <c r="H18" i="52"/>
  <c r="J18" i="52" s="1"/>
  <c r="H27" i="52"/>
  <c r="J27" i="52" s="1"/>
  <c r="H25" i="52"/>
  <c r="J25" i="52" s="1"/>
  <c r="H20" i="52"/>
  <c r="J20" i="52" s="1"/>
  <c r="H29" i="52"/>
  <c r="J29" i="52" s="1"/>
  <c r="H32" i="52"/>
  <c r="J32" i="52" s="1"/>
  <c r="H23" i="52"/>
  <c r="J23" i="52" s="1"/>
  <c r="H19" i="52"/>
  <c r="J19" i="52" s="1"/>
  <c r="H17" i="52"/>
  <c r="J17" i="52" s="1"/>
  <c r="H4" i="52"/>
  <c r="J4" i="52" s="1"/>
  <c r="H22" i="52"/>
  <c r="J22" i="52" s="1"/>
  <c r="H3" i="52"/>
  <c r="J3" i="52" s="1"/>
  <c r="H5" i="52"/>
  <c r="J5" i="52" s="1"/>
  <c r="H6" i="52"/>
  <c r="J6" i="52" s="1"/>
  <c r="H7" i="52"/>
  <c r="J7" i="52" s="1"/>
  <c r="H8" i="52"/>
  <c r="J8" i="52" s="1"/>
  <c r="H9" i="52"/>
  <c r="J9" i="52" s="1"/>
  <c r="H10" i="52"/>
  <c r="J10" i="52" s="1"/>
  <c r="H11" i="52"/>
  <c r="J11" i="52" s="1"/>
  <c r="H12" i="52"/>
  <c r="J12" i="52" s="1"/>
  <c r="I55" i="47"/>
  <c r="K55" i="47" s="1"/>
  <c r="I56" i="47"/>
  <c r="K56" i="47" s="1"/>
  <c r="I54" i="47"/>
  <c r="K54" i="47" s="1"/>
  <c r="I58" i="47"/>
  <c r="K58" i="47" s="1"/>
  <c r="I52" i="47"/>
  <c r="K52" i="47" s="1"/>
  <c r="I25" i="47"/>
  <c r="K25" i="47" s="1"/>
  <c r="I48" i="47"/>
  <c r="K48" i="47" s="1"/>
  <c r="I28" i="47"/>
  <c r="K28" i="47" s="1"/>
  <c r="I27" i="47"/>
  <c r="K27" i="47" s="1"/>
  <c r="I3" i="47"/>
  <c r="I33" i="47"/>
  <c r="K33" i="47" s="1"/>
  <c r="I36" i="47"/>
  <c r="K36" i="47" s="1"/>
  <c r="I40" i="47"/>
  <c r="K40" i="47" s="1"/>
  <c r="I17" i="47"/>
  <c r="K17" i="47" s="1"/>
  <c r="I19" i="47"/>
  <c r="K19" i="47" s="1"/>
  <c r="I23" i="47"/>
  <c r="K23" i="47" s="1"/>
  <c r="I21" i="47"/>
  <c r="K21" i="47" s="1"/>
  <c r="I29" i="47"/>
  <c r="K29" i="47" s="1"/>
  <c r="I38" i="47"/>
  <c r="K38" i="47" s="1"/>
  <c r="I18" i="47"/>
  <c r="K18" i="47" s="1"/>
  <c r="I31" i="47"/>
  <c r="K31" i="47" s="1"/>
  <c r="I46" i="47"/>
  <c r="K46" i="47" s="1"/>
  <c r="I34" i="47"/>
  <c r="K34" i="47" s="1"/>
  <c r="I42" i="47"/>
  <c r="K42" i="47" s="1"/>
  <c r="I35" i="47"/>
  <c r="K35" i="47" s="1"/>
  <c r="I24" i="47"/>
  <c r="K24" i="47" s="1"/>
  <c r="I22" i="47"/>
  <c r="K22" i="47" s="1"/>
  <c r="I30" i="47"/>
  <c r="K30" i="47" s="1"/>
  <c r="I49" i="47"/>
  <c r="K49" i="47" s="1"/>
  <c r="I32" i="47"/>
  <c r="K32" i="47" s="1"/>
  <c r="I20" i="47"/>
  <c r="K20" i="47" s="1"/>
  <c r="I26" i="47"/>
  <c r="K26" i="47" s="1"/>
  <c r="AB61" i="40"/>
  <c r="J7" i="38"/>
  <c r="B8" i="38"/>
  <c r="L6" i="38"/>
  <c r="M6" i="38"/>
  <c r="N6" i="38" s="1"/>
  <c r="P5" i="38"/>
  <c r="Q5" i="38"/>
  <c r="R5" i="38" s="1"/>
  <c r="I10" i="38"/>
  <c r="AA29" i="75" l="1"/>
  <c r="AA29" i="74"/>
  <c r="AA29" i="72"/>
  <c r="I20" i="45"/>
  <c r="K19" i="45"/>
  <c r="P13" i="45"/>
  <c r="Q13" i="45"/>
  <c r="R13" i="45" s="1"/>
  <c r="L14" i="45"/>
  <c r="M14" i="45"/>
  <c r="N14" i="45" s="1"/>
  <c r="B16" i="45"/>
  <c r="J15" i="45"/>
  <c r="D15" i="39"/>
  <c r="AB21" i="52"/>
  <c r="AA29" i="39"/>
  <c r="L40" i="52"/>
  <c r="M40" i="52"/>
  <c r="N40" i="52" s="1"/>
  <c r="L39" i="52"/>
  <c r="M39" i="52"/>
  <c r="N39" i="52" s="1"/>
  <c r="M41" i="52"/>
  <c r="N41" i="52" s="1"/>
  <c r="L41" i="52"/>
  <c r="M37" i="52"/>
  <c r="N37" i="52" s="1"/>
  <c r="L37" i="52"/>
  <c r="L42" i="52"/>
  <c r="M42" i="52"/>
  <c r="N42" i="52" s="1"/>
  <c r="M36" i="52"/>
  <c r="N36" i="52" s="1"/>
  <c r="L36" i="52"/>
  <c r="M44" i="52"/>
  <c r="N44" i="52" s="1"/>
  <c r="L44" i="52"/>
  <c r="L43" i="52"/>
  <c r="M43" i="52"/>
  <c r="N43" i="52" s="1"/>
  <c r="L38" i="52"/>
  <c r="M38" i="52"/>
  <c r="N38" i="52" s="1"/>
  <c r="L33" i="52"/>
  <c r="M33" i="52"/>
  <c r="N33" i="52" s="1"/>
  <c r="L35" i="52"/>
  <c r="M35" i="52"/>
  <c r="N35" i="52" s="1"/>
  <c r="M34" i="52"/>
  <c r="N34" i="52" s="1"/>
  <c r="L34" i="52"/>
  <c r="L10" i="52"/>
  <c r="M10" i="52"/>
  <c r="N10" i="52" s="1"/>
  <c r="L6" i="52"/>
  <c r="M6" i="52"/>
  <c r="N6" i="52" s="1"/>
  <c r="L22" i="52"/>
  <c r="M22" i="52"/>
  <c r="N22" i="52" s="1"/>
  <c r="M23" i="52"/>
  <c r="N23" i="52" s="1"/>
  <c r="L23" i="52"/>
  <c r="M27" i="52"/>
  <c r="N27" i="52" s="1"/>
  <c r="L27" i="52"/>
  <c r="M31" i="52"/>
  <c r="N31" i="52" s="1"/>
  <c r="L31" i="52"/>
  <c r="M9" i="52"/>
  <c r="N9" i="52" s="1"/>
  <c r="L9" i="52"/>
  <c r="M5" i="52"/>
  <c r="N5" i="52" s="1"/>
  <c r="L5" i="52"/>
  <c r="M4" i="52"/>
  <c r="N4" i="52" s="1"/>
  <c r="L4" i="52"/>
  <c r="L32" i="52"/>
  <c r="M32" i="52"/>
  <c r="N32" i="52" s="1"/>
  <c r="L18" i="52"/>
  <c r="M18" i="52"/>
  <c r="N18" i="52" s="1"/>
  <c r="L26" i="52"/>
  <c r="M26" i="52"/>
  <c r="N26" i="52" s="1"/>
  <c r="L12" i="52"/>
  <c r="M12" i="52"/>
  <c r="N12" i="52" s="1"/>
  <c r="L8" i="52"/>
  <c r="M8" i="52"/>
  <c r="N8" i="52" s="1"/>
  <c r="L17" i="52"/>
  <c r="M17" i="52"/>
  <c r="N17" i="52" s="1"/>
  <c r="M20" i="52"/>
  <c r="N20" i="52" s="1"/>
  <c r="L20" i="52"/>
  <c r="L21" i="52"/>
  <c r="M21" i="52"/>
  <c r="N21" i="52" s="1"/>
  <c r="L30" i="52"/>
  <c r="M30" i="52"/>
  <c r="N30" i="52" s="1"/>
  <c r="M11" i="52"/>
  <c r="N11" i="52" s="1"/>
  <c r="L11" i="52"/>
  <c r="M7" i="52"/>
  <c r="N7" i="52" s="1"/>
  <c r="L7" i="52"/>
  <c r="M3" i="52"/>
  <c r="N3" i="52" s="1"/>
  <c r="L3" i="52"/>
  <c r="L19" i="52"/>
  <c r="M19" i="52"/>
  <c r="N19" i="52" s="1"/>
  <c r="M29" i="52"/>
  <c r="N29" i="52" s="1"/>
  <c r="L29" i="52"/>
  <c r="M25" i="52"/>
  <c r="N25" i="52" s="1"/>
  <c r="L25" i="52"/>
  <c r="L24" i="52"/>
  <c r="M24" i="52"/>
  <c r="N24" i="52" s="1"/>
  <c r="M28" i="52"/>
  <c r="N28" i="52" s="1"/>
  <c r="L28" i="52"/>
  <c r="AB3" i="47"/>
  <c r="AB17" i="47" s="1"/>
  <c r="AB4" i="47"/>
  <c r="I4" i="47"/>
  <c r="I5" i="47" s="1"/>
  <c r="I6" i="47" s="1"/>
  <c r="I7" i="47" s="1"/>
  <c r="I8" i="47" s="1"/>
  <c r="I9" i="47" s="1"/>
  <c r="I10" i="47" s="1"/>
  <c r="I11" i="47" s="1"/>
  <c r="I12" i="47" s="1"/>
  <c r="K3" i="47"/>
  <c r="K4" i="47" s="1"/>
  <c r="K5" i="47" s="1"/>
  <c r="K6" i="47" s="1"/>
  <c r="K7" i="47" s="1"/>
  <c r="K8" i="47" s="1"/>
  <c r="K9" i="47" s="1"/>
  <c r="K10" i="47" s="1"/>
  <c r="K11" i="47" s="1"/>
  <c r="K12" i="47" s="1"/>
  <c r="P6" i="38"/>
  <c r="Q6" i="38"/>
  <c r="R6" i="38" s="1"/>
  <c r="J8" i="38"/>
  <c r="B9" i="38"/>
  <c r="L7" i="38"/>
  <c r="M7" i="38"/>
  <c r="N7" i="38" s="1"/>
  <c r="I11" i="38"/>
  <c r="AB29" i="72" l="1"/>
  <c r="AC29" i="72" s="1"/>
  <c r="AC32" i="72" s="1"/>
  <c r="AC35" i="72" s="1"/>
  <c r="AC36" i="72" s="1"/>
  <c r="AD29" i="72"/>
  <c r="V29" i="75"/>
  <c r="V33" i="75"/>
  <c r="V33" i="74"/>
  <c r="V29" i="74"/>
  <c r="V29" i="72"/>
  <c r="V33" i="72"/>
  <c r="AC29" i="74"/>
  <c r="AC32" i="74" s="1"/>
  <c r="AC35" i="74" s="1"/>
  <c r="AC36" i="74" s="1"/>
  <c r="AB29" i="74"/>
  <c r="AD29" i="74"/>
  <c r="AD29" i="75"/>
  <c r="AB29" i="75"/>
  <c r="J16" i="45"/>
  <c r="L16" i="45" s="1"/>
  <c r="B17" i="45"/>
  <c r="I21" i="45"/>
  <c r="K20" i="45"/>
  <c r="P14" i="45"/>
  <c r="Q14" i="45"/>
  <c r="R14" i="45" s="1"/>
  <c r="L15" i="45"/>
  <c r="M15" i="45"/>
  <c r="N15" i="45" s="1"/>
  <c r="D16" i="39"/>
  <c r="AB29" i="39"/>
  <c r="AD29" i="39"/>
  <c r="V29" i="39"/>
  <c r="V33" i="39"/>
  <c r="P36" i="52"/>
  <c r="Q36" i="52"/>
  <c r="R36" i="52" s="1"/>
  <c r="P40" i="52"/>
  <c r="Q40" i="52"/>
  <c r="R40" i="52" s="1"/>
  <c r="P41" i="52"/>
  <c r="Q41" i="52"/>
  <c r="R41" i="52" s="1"/>
  <c r="P43" i="52"/>
  <c r="Q43" i="52"/>
  <c r="R43" i="52" s="1"/>
  <c r="Q37" i="52"/>
  <c r="R37" i="52" s="1"/>
  <c r="P37" i="52"/>
  <c r="Q38" i="52"/>
  <c r="R38" i="52" s="1"/>
  <c r="P38" i="52"/>
  <c r="Q42" i="52"/>
  <c r="R42" i="52" s="1"/>
  <c r="P42" i="52"/>
  <c r="P39" i="52"/>
  <c r="Q39" i="52"/>
  <c r="R39" i="52" s="1"/>
  <c r="P44" i="52"/>
  <c r="Q44" i="52"/>
  <c r="R44" i="52" s="1"/>
  <c r="Q35" i="52"/>
  <c r="R35" i="52" s="1"/>
  <c r="P35" i="52"/>
  <c r="P34" i="52"/>
  <c r="Q34" i="52"/>
  <c r="R34" i="52" s="1"/>
  <c r="P33" i="52"/>
  <c r="Q33" i="52"/>
  <c r="R33" i="52" s="1"/>
  <c r="Q32" i="52"/>
  <c r="R32" i="52" s="1"/>
  <c r="P32" i="52"/>
  <c r="P28" i="52"/>
  <c r="Q28" i="52"/>
  <c r="R28" i="52" s="1"/>
  <c r="Q26" i="52"/>
  <c r="R26" i="52" s="1"/>
  <c r="P26" i="52"/>
  <c r="Q24" i="52"/>
  <c r="R24" i="52" s="1"/>
  <c r="P24" i="52"/>
  <c r="Q19" i="52"/>
  <c r="R19" i="52" s="1"/>
  <c r="P19" i="52"/>
  <c r="P20" i="52"/>
  <c r="Q20" i="52"/>
  <c r="R20" i="52" s="1"/>
  <c r="Q22" i="52"/>
  <c r="R22" i="52" s="1"/>
  <c r="P22" i="52"/>
  <c r="P27" i="52"/>
  <c r="Q27" i="52"/>
  <c r="R27" i="52" s="1"/>
  <c r="Q25" i="52"/>
  <c r="R25" i="52" s="1"/>
  <c r="P25" i="52"/>
  <c r="Q21" i="52"/>
  <c r="R21" i="52" s="1"/>
  <c r="P21" i="52"/>
  <c r="P17" i="52"/>
  <c r="Q17" i="52"/>
  <c r="R17" i="52" s="1"/>
  <c r="Q18" i="52"/>
  <c r="R18" i="52" s="1"/>
  <c r="P18" i="52"/>
  <c r="Q5" i="52"/>
  <c r="R5" i="52" s="1"/>
  <c r="P5" i="52"/>
  <c r="P31" i="52"/>
  <c r="Q31" i="52"/>
  <c r="R31" i="52" s="1"/>
  <c r="Q6" i="52"/>
  <c r="R6" i="52" s="1"/>
  <c r="P6" i="52"/>
  <c r="Q3" i="52"/>
  <c r="R3" i="52" s="1"/>
  <c r="P3" i="52"/>
  <c r="Q11" i="52"/>
  <c r="R11" i="52" s="1"/>
  <c r="P11" i="52"/>
  <c r="Q12" i="52"/>
  <c r="R12" i="52" s="1"/>
  <c r="P12" i="52"/>
  <c r="Q29" i="52"/>
  <c r="R29" i="52" s="1"/>
  <c r="P29" i="52"/>
  <c r="Q30" i="52"/>
  <c r="R30" i="52" s="1"/>
  <c r="P30" i="52"/>
  <c r="P4" i="52"/>
  <c r="Q4" i="52"/>
  <c r="R4" i="52" s="1"/>
  <c r="P9" i="52"/>
  <c r="Q9" i="52"/>
  <c r="R9" i="52" s="1"/>
  <c r="Q23" i="52"/>
  <c r="R23" i="52" s="1"/>
  <c r="P23" i="52"/>
  <c r="P10" i="52"/>
  <c r="Q10" i="52"/>
  <c r="R10" i="52" s="1"/>
  <c r="P7" i="52"/>
  <c r="Q7" i="52"/>
  <c r="R7" i="52" s="1"/>
  <c r="Q8" i="52"/>
  <c r="R8" i="52" s="1"/>
  <c r="P8" i="52"/>
  <c r="AB21" i="47"/>
  <c r="H56" i="47"/>
  <c r="J56" i="47" s="1"/>
  <c r="H58" i="47"/>
  <c r="J58" i="47" s="1"/>
  <c r="H57" i="47"/>
  <c r="J57" i="47" s="1"/>
  <c r="H54" i="47"/>
  <c r="J54" i="47" s="1"/>
  <c r="H55" i="47"/>
  <c r="J55" i="47" s="1"/>
  <c r="H59" i="47"/>
  <c r="J59" i="47" s="1"/>
  <c r="H53" i="47"/>
  <c r="J53" i="47" s="1"/>
  <c r="H51" i="47"/>
  <c r="J51" i="47" s="1"/>
  <c r="H49" i="47"/>
  <c r="J49" i="47" s="1"/>
  <c r="H12" i="47"/>
  <c r="J12" i="47" s="1"/>
  <c r="H39" i="47"/>
  <c r="J39" i="47" s="1"/>
  <c r="H47" i="47"/>
  <c r="J47" i="47" s="1"/>
  <c r="H35" i="47"/>
  <c r="J35" i="47" s="1"/>
  <c r="H3" i="47"/>
  <c r="J3" i="47" s="1"/>
  <c r="H11" i="47"/>
  <c r="J11" i="47" s="1"/>
  <c r="H19" i="47"/>
  <c r="J19" i="47" s="1"/>
  <c r="H41" i="47"/>
  <c r="J41" i="47" s="1"/>
  <c r="H42" i="47"/>
  <c r="J42" i="47" s="1"/>
  <c r="H10" i="47"/>
  <c r="J10" i="47" s="1"/>
  <c r="H27" i="47"/>
  <c r="J27" i="47" s="1"/>
  <c r="H23" i="47"/>
  <c r="J23" i="47" s="1"/>
  <c r="H34" i="47"/>
  <c r="J34" i="47" s="1"/>
  <c r="H40" i="47"/>
  <c r="J40" i="47" s="1"/>
  <c r="H28" i="47"/>
  <c r="J28" i="47" s="1"/>
  <c r="H6" i="47"/>
  <c r="J6" i="47" s="1"/>
  <c r="H46" i="47"/>
  <c r="J46" i="47" s="1"/>
  <c r="H32" i="47"/>
  <c r="J32" i="47" s="1"/>
  <c r="H38" i="47"/>
  <c r="J38" i="47" s="1"/>
  <c r="H45" i="47"/>
  <c r="J45" i="47" s="1"/>
  <c r="H4" i="47"/>
  <c r="J4" i="47" s="1"/>
  <c r="H7" i="47"/>
  <c r="J7" i="47" s="1"/>
  <c r="H26" i="47"/>
  <c r="J26" i="47" s="1"/>
  <c r="H29" i="47"/>
  <c r="J29" i="47" s="1"/>
  <c r="H18" i="47"/>
  <c r="J18" i="47" s="1"/>
  <c r="H9" i="47"/>
  <c r="J9" i="47" s="1"/>
  <c r="H22" i="47"/>
  <c r="J22" i="47" s="1"/>
  <c r="H50" i="47"/>
  <c r="J50" i="47" s="1"/>
  <c r="H17" i="47"/>
  <c r="J17" i="47" s="1"/>
  <c r="H31" i="47"/>
  <c r="J31" i="47" s="1"/>
  <c r="H24" i="47"/>
  <c r="J24" i="47" s="1"/>
  <c r="H52" i="47"/>
  <c r="J52" i="47" s="1"/>
  <c r="H36" i="47"/>
  <c r="J36" i="47" s="1"/>
  <c r="H20" i="47"/>
  <c r="J20" i="47" s="1"/>
  <c r="H43" i="47"/>
  <c r="J43" i="47" s="1"/>
  <c r="H5" i="47"/>
  <c r="J5" i="47" s="1"/>
  <c r="H48" i="47"/>
  <c r="J48" i="47" s="1"/>
  <c r="H30" i="47"/>
  <c r="J30" i="47" s="1"/>
  <c r="H21" i="47"/>
  <c r="J21" i="47" s="1"/>
  <c r="H25" i="47"/>
  <c r="J25" i="47" s="1"/>
  <c r="H8" i="47"/>
  <c r="J8" i="47" s="1"/>
  <c r="H33" i="47"/>
  <c r="J33" i="47" s="1"/>
  <c r="H44" i="47"/>
  <c r="J44" i="47" s="1"/>
  <c r="H37" i="47"/>
  <c r="J37" i="47" s="1"/>
  <c r="J9" i="38"/>
  <c r="B10" i="38"/>
  <c r="L8" i="38"/>
  <c r="M8" i="38"/>
  <c r="N8" i="38" s="1"/>
  <c r="P7" i="38"/>
  <c r="Q7" i="38"/>
  <c r="R7" i="38" s="1"/>
  <c r="I12" i="38"/>
  <c r="W29" i="72" l="1"/>
  <c r="Y29" i="72"/>
  <c r="Y29" i="74"/>
  <c r="W29" i="74"/>
  <c r="AC29" i="75"/>
  <c r="AC32" i="75" s="1"/>
  <c r="AC35" i="75" s="1"/>
  <c r="AC36" i="75" s="1"/>
  <c r="Y29" i="75"/>
  <c r="W29" i="75"/>
  <c r="M16" i="45"/>
  <c r="N16" i="45" s="1"/>
  <c r="Q16" i="45" s="1"/>
  <c r="R16" i="45" s="1"/>
  <c r="I22" i="45"/>
  <c r="K21" i="45"/>
  <c r="B18" i="45"/>
  <c r="J17" i="45"/>
  <c r="P15" i="45"/>
  <c r="Q15" i="45"/>
  <c r="R15" i="45" s="1"/>
  <c r="AC29" i="39"/>
  <c r="AC32" i="39" s="1"/>
  <c r="AC35" i="39" s="1"/>
  <c r="AC36" i="39" s="1"/>
  <c r="W29" i="39"/>
  <c r="Y29" i="39"/>
  <c r="S36" i="52"/>
  <c r="T39" i="52"/>
  <c r="S40" i="52"/>
  <c r="T43" i="52"/>
  <c r="S44" i="52"/>
  <c r="T38" i="52"/>
  <c r="S39" i="52"/>
  <c r="T36" i="52"/>
  <c r="S37" i="52"/>
  <c r="T40" i="52"/>
  <c r="S41" i="52"/>
  <c r="T44" i="52"/>
  <c r="T37" i="52"/>
  <c r="S38" i="52"/>
  <c r="T41" i="52"/>
  <c r="S42" i="52"/>
  <c r="T42" i="52"/>
  <c r="S43" i="52"/>
  <c r="S33" i="52"/>
  <c r="T33" i="52"/>
  <c r="S34" i="52"/>
  <c r="T34" i="52"/>
  <c r="S35" i="52"/>
  <c r="T35" i="52"/>
  <c r="S32" i="52"/>
  <c r="T31" i="52"/>
  <c r="S28" i="52"/>
  <c r="T27" i="52"/>
  <c r="S30" i="52"/>
  <c r="S31" i="52"/>
  <c r="T28" i="52"/>
  <c r="T30" i="52"/>
  <c r="S29" i="52"/>
  <c r="S26" i="52"/>
  <c r="S22" i="52"/>
  <c r="S19" i="52"/>
  <c r="T17" i="52"/>
  <c r="S10" i="52"/>
  <c r="T9" i="52"/>
  <c r="T26" i="52"/>
  <c r="T24" i="52"/>
  <c r="S23" i="52"/>
  <c r="T20" i="52"/>
  <c r="T32" i="52"/>
  <c r="S24" i="52"/>
  <c r="T21" i="52"/>
  <c r="S20" i="52"/>
  <c r="T11" i="52"/>
  <c r="T29" i="52"/>
  <c r="S25" i="52"/>
  <c r="T23" i="52"/>
  <c r="T19" i="52"/>
  <c r="S18" i="52"/>
  <c r="S17" i="52"/>
  <c r="S12" i="52"/>
  <c r="S9" i="52"/>
  <c r="T7" i="52"/>
  <c r="T4" i="52"/>
  <c r="T12" i="52"/>
  <c r="S8" i="52"/>
  <c r="T22" i="52"/>
  <c r="T3" i="52"/>
  <c r="S21" i="52"/>
  <c r="T8" i="52"/>
  <c r="S6" i="52"/>
  <c r="T25" i="52"/>
  <c r="S11" i="52"/>
  <c r="S7" i="52"/>
  <c r="S27" i="52"/>
  <c r="T18" i="52"/>
  <c r="T10" i="52"/>
  <c r="T5" i="52"/>
  <c r="S4" i="52"/>
  <c r="T6" i="52"/>
  <c r="S5" i="52"/>
  <c r="S3" i="52"/>
  <c r="L54" i="47"/>
  <c r="M54" i="47"/>
  <c r="N54" i="47" s="1"/>
  <c r="L57" i="47"/>
  <c r="M57" i="47"/>
  <c r="N57" i="47" s="1"/>
  <c r="M59" i="47"/>
  <c r="N59" i="47" s="1"/>
  <c r="L59" i="47"/>
  <c r="L58" i="47"/>
  <c r="M58" i="47"/>
  <c r="N58" i="47" s="1"/>
  <c r="M55" i="47"/>
  <c r="N55" i="47" s="1"/>
  <c r="L55" i="47"/>
  <c r="L56" i="47"/>
  <c r="M56" i="47"/>
  <c r="N56" i="47" s="1"/>
  <c r="L33" i="47"/>
  <c r="M33" i="47"/>
  <c r="N33" i="47" s="1"/>
  <c r="M20" i="47"/>
  <c r="N20" i="47" s="1"/>
  <c r="L20" i="47"/>
  <c r="L29" i="47"/>
  <c r="M29" i="47"/>
  <c r="N29" i="47" s="1"/>
  <c r="M11" i="47"/>
  <c r="N11" i="47" s="1"/>
  <c r="L11" i="47"/>
  <c r="M8" i="47"/>
  <c r="N8" i="47" s="1"/>
  <c r="L8" i="47"/>
  <c r="L48" i="47"/>
  <c r="M48" i="47"/>
  <c r="N48" i="47" s="1"/>
  <c r="M36" i="47"/>
  <c r="N36" i="47" s="1"/>
  <c r="L36" i="47"/>
  <c r="M24" i="47"/>
  <c r="N24" i="47" s="1"/>
  <c r="L24" i="47"/>
  <c r="M22" i="47"/>
  <c r="N22" i="47" s="1"/>
  <c r="L22" i="47"/>
  <c r="L26" i="47"/>
  <c r="M26" i="47"/>
  <c r="N26" i="47" s="1"/>
  <c r="L38" i="47"/>
  <c r="M38" i="47"/>
  <c r="N38" i="47" s="1"/>
  <c r="L6" i="47"/>
  <c r="M6" i="47"/>
  <c r="N6" i="47" s="1"/>
  <c r="M23" i="47"/>
  <c r="N23" i="47" s="1"/>
  <c r="L23" i="47"/>
  <c r="L42" i="47"/>
  <c r="M42" i="47"/>
  <c r="N42" i="47" s="1"/>
  <c r="L3" i="47"/>
  <c r="M3" i="47"/>
  <c r="N3" i="47" s="1"/>
  <c r="M12" i="47"/>
  <c r="N12" i="47" s="1"/>
  <c r="L12" i="47"/>
  <c r="M30" i="47"/>
  <c r="N30" i="47" s="1"/>
  <c r="L30" i="47"/>
  <c r="M50" i="47"/>
  <c r="N50" i="47" s="1"/>
  <c r="L50" i="47"/>
  <c r="L10" i="47"/>
  <c r="M10" i="47"/>
  <c r="N10" i="47" s="1"/>
  <c r="M39" i="47"/>
  <c r="N39" i="47" s="1"/>
  <c r="L39" i="47"/>
  <c r="L37" i="47"/>
  <c r="M37" i="47"/>
  <c r="N37" i="47" s="1"/>
  <c r="L25" i="47"/>
  <c r="M25" i="47"/>
  <c r="N25" i="47" s="1"/>
  <c r="M5" i="47"/>
  <c r="N5" i="47" s="1"/>
  <c r="L5" i="47"/>
  <c r="M52" i="47"/>
  <c r="N52" i="47" s="1"/>
  <c r="L52" i="47"/>
  <c r="L31" i="47"/>
  <c r="M31" i="47"/>
  <c r="N31" i="47" s="1"/>
  <c r="L9" i="47"/>
  <c r="M9" i="47"/>
  <c r="N9" i="47" s="1"/>
  <c r="M7" i="47"/>
  <c r="N7" i="47" s="1"/>
  <c r="L7" i="47"/>
  <c r="M32" i="47"/>
  <c r="N32" i="47" s="1"/>
  <c r="L32" i="47"/>
  <c r="M28" i="47"/>
  <c r="N28" i="47" s="1"/>
  <c r="L28" i="47"/>
  <c r="L27" i="47"/>
  <c r="M27" i="47"/>
  <c r="N27" i="47" s="1"/>
  <c r="M41" i="47"/>
  <c r="N41" i="47" s="1"/>
  <c r="L41" i="47"/>
  <c r="M35" i="47"/>
  <c r="N35" i="47" s="1"/>
  <c r="L35" i="47"/>
  <c r="L49" i="47"/>
  <c r="M49" i="47"/>
  <c r="N49" i="47" s="1"/>
  <c r="M53" i="47"/>
  <c r="N53" i="47" s="1"/>
  <c r="L53" i="47"/>
  <c r="M45" i="47"/>
  <c r="N45" i="47" s="1"/>
  <c r="L45" i="47"/>
  <c r="M34" i="47"/>
  <c r="N34" i="47" s="1"/>
  <c r="L34" i="47"/>
  <c r="M44" i="47"/>
  <c r="N44" i="47" s="1"/>
  <c r="L44" i="47"/>
  <c r="M21" i="47"/>
  <c r="N21" i="47" s="1"/>
  <c r="L21" i="47"/>
  <c r="M43" i="47"/>
  <c r="N43" i="47" s="1"/>
  <c r="L43" i="47"/>
  <c r="L17" i="47"/>
  <c r="M17" i="47"/>
  <c r="N17" i="47" s="1"/>
  <c r="L18" i="47"/>
  <c r="M18" i="47"/>
  <c r="N18" i="47" s="1"/>
  <c r="L4" i="47"/>
  <c r="M4" i="47"/>
  <c r="N4" i="47" s="1"/>
  <c r="L46" i="47"/>
  <c r="M46" i="47"/>
  <c r="N46" i="47" s="1"/>
  <c r="L40" i="47"/>
  <c r="M40" i="47"/>
  <c r="N40" i="47" s="1"/>
  <c r="M19" i="47"/>
  <c r="N19" i="47" s="1"/>
  <c r="L19" i="47"/>
  <c r="L47" i="47"/>
  <c r="M47" i="47"/>
  <c r="N47" i="47" s="1"/>
  <c r="L51" i="47"/>
  <c r="M51" i="47"/>
  <c r="N51" i="47" s="1"/>
  <c r="J10" i="38"/>
  <c r="B11" i="38"/>
  <c r="Q8" i="38"/>
  <c r="R8" i="38" s="1"/>
  <c r="P8" i="38"/>
  <c r="L9" i="38"/>
  <c r="M9" i="38"/>
  <c r="N9" i="38" s="1"/>
  <c r="I13" i="38"/>
  <c r="X29" i="75" l="1"/>
  <c r="X32" i="75" s="1"/>
  <c r="X35" i="75" s="1"/>
  <c r="X36" i="75" s="1"/>
  <c r="X29" i="72"/>
  <c r="X32" i="72" s="1"/>
  <c r="X35" i="72" s="1"/>
  <c r="X36" i="72" s="1"/>
  <c r="X29" i="74"/>
  <c r="X32" i="74" s="1"/>
  <c r="X35" i="74" s="1"/>
  <c r="X36" i="74" s="1"/>
  <c r="P16" i="45"/>
  <c r="L17" i="45"/>
  <c r="M17" i="45"/>
  <c r="N17" i="45" s="1"/>
  <c r="B19" i="45"/>
  <c r="J18" i="45"/>
  <c r="K22" i="45"/>
  <c r="I23" i="45"/>
  <c r="U20" i="52"/>
  <c r="V20" i="52" s="1"/>
  <c r="W20" i="52" s="1"/>
  <c r="X20" i="52" s="1"/>
  <c r="U31" i="52"/>
  <c r="V31" i="52" s="1"/>
  <c r="W31" i="52" s="1"/>
  <c r="X31" i="52" s="1"/>
  <c r="U39" i="52"/>
  <c r="V39" i="52" s="1"/>
  <c r="W39" i="52" s="1"/>
  <c r="X39" i="52" s="1"/>
  <c r="Y39" i="52" s="1"/>
  <c r="X29" i="39"/>
  <c r="X32" i="39" s="1"/>
  <c r="X35" i="39" s="1"/>
  <c r="X36" i="39" s="1"/>
  <c r="U38" i="52"/>
  <c r="V38" i="52" s="1"/>
  <c r="W38" i="52" s="1"/>
  <c r="X38" i="52" s="1"/>
  <c r="AA38" i="52" s="1"/>
  <c r="U43" i="52"/>
  <c r="V43" i="52" s="1"/>
  <c r="W43" i="52" s="1"/>
  <c r="X43" i="52" s="1"/>
  <c r="Z43" i="52" s="1"/>
  <c r="U27" i="52"/>
  <c r="V27" i="52" s="1"/>
  <c r="W27" i="52" s="1"/>
  <c r="X27" i="52" s="1"/>
  <c r="Y27" i="52" s="1"/>
  <c r="U4" i="52"/>
  <c r="V4" i="52" s="1"/>
  <c r="W4" i="52" s="1"/>
  <c r="X4" i="52" s="1"/>
  <c r="Y4" i="52" s="1"/>
  <c r="U40" i="52"/>
  <c r="V40" i="52" s="1"/>
  <c r="W40" i="52" s="1"/>
  <c r="X40" i="52" s="1"/>
  <c r="Y40" i="52" s="1"/>
  <c r="U42" i="52"/>
  <c r="V42" i="52" s="1"/>
  <c r="W42" i="52" s="1"/>
  <c r="X42" i="52" s="1"/>
  <c r="U41" i="52"/>
  <c r="V41" i="52" s="1"/>
  <c r="W41" i="52" s="1"/>
  <c r="X41" i="52" s="1"/>
  <c r="U37" i="52"/>
  <c r="V37" i="52" s="1"/>
  <c r="W37" i="52" s="1"/>
  <c r="X37" i="52" s="1"/>
  <c r="U44" i="52"/>
  <c r="V44" i="52" s="1"/>
  <c r="W44" i="52" s="1"/>
  <c r="X44" i="52" s="1"/>
  <c r="U36" i="52"/>
  <c r="V36" i="52" s="1"/>
  <c r="W36" i="52" s="1"/>
  <c r="X36" i="52" s="1"/>
  <c r="U9" i="52"/>
  <c r="V9" i="52" s="1"/>
  <c r="W9" i="52" s="1"/>
  <c r="X9" i="52" s="1"/>
  <c r="Z9" i="52" s="1"/>
  <c r="U35" i="52"/>
  <c r="V35" i="52" s="1"/>
  <c r="W35" i="52" s="1"/>
  <c r="X35" i="52" s="1"/>
  <c r="U21" i="52"/>
  <c r="V21" i="52" s="1"/>
  <c r="W21" i="52" s="1"/>
  <c r="X21" i="52" s="1"/>
  <c r="Z21" i="52" s="1"/>
  <c r="U34" i="52"/>
  <c r="V34" i="52" s="1"/>
  <c r="W34" i="52" s="1"/>
  <c r="X34" i="52" s="1"/>
  <c r="U33" i="52"/>
  <c r="V33" i="52" s="1"/>
  <c r="W33" i="52" s="1"/>
  <c r="X33" i="52" s="1"/>
  <c r="U17" i="52"/>
  <c r="V17" i="52" s="1"/>
  <c r="W17" i="52" s="1"/>
  <c r="X17" i="52" s="1"/>
  <c r="Z17" i="52" s="1"/>
  <c r="U7" i="52"/>
  <c r="V7" i="52" s="1"/>
  <c r="W7" i="52" s="1"/>
  <c r="X7" i="52" s="1"/>
  <c r="Z7" i="52" s="1"/>
  <c r="U3" i="52"/>
  <c r="V3" i="52" s="1"/>
  <c r="W3" i="52" s="1"/>
  <c r="X3" i="52" s="1"/>
  <c r="Y3" i="52" s="1"/>
  <c r="U5" i="52"/>
  <c r="V5" i="52" s="1"/>
  <c r="W5" i="52" s="1"/>
  <c r="X5" i="52" s="1"/>
  <c r="Z5" i="52" s="1"/>
  <c r="U11" i="52"/>
  <c r="V11" i="52" s="1"/>
  <c r="W11" i="52" s="1"/>
  <c r="X11" i="52" s="1"/>
  <c r="Z11" i="52" s="1"/>
  <c r="Y21" i="52"/>
  <c r="U12" i="52"/>
  <c r="V12" i="52" s="1"/>
  <c r="W12" i="52" s="1"/>
  <c r="X12" i="52" s="1"/>
  <c r="U24" i="52"/>
  <c r="V24" i="52" s="1"/>
  <c r="W24" i="52" s="1"/>
  <c r="X24" i="52" s="1"/>
  <c r="U23" i="52"/>
  <c r="V23" i="52" s="1"/>
  <c r="W23" i="52" s="1"/>
  <c r="X23" i="52" s="1"/>
  <c r="U10" i="52"/>
  <c r="V10" i="52" s="1"/>
  <c r="W10" i="52" s="1"/>
  <c r="X10" i="52" s="1"/>
  <c r="U26" i="52"/>
  <c r="V26" i="52" s="1"/>
  <c r="W26" i="52" s="1"/>
  <c r="X26" i="52" s="1"/>
  <c r="U30" i="52"/>
  <c r="V30" i="52" s="1"/>
  <c r="W30" i="52" s="1"/>
  <c r="X30" i="52" s="1"/>
  <c r="U6" i="52"/>
  <c r="V6" i="52" s="1"/>
  <c r="W6" i="52" s="1"/>
  <c r="X6" i="52" s="1"/>
  <c r="U25" i="52"/>
  <c r="V25" i="52" s="1"/>
  <c r="W25" i="52" s="1"/>
  <c r="X25" i="52" s="1"/>
  <c r="U29" i="52"/>
  <c r="V29" i="52" s="1"/>
  <c r="W29" i="52" s="1"/>
  <c r="X29" i="52" s="1"/>
  <c r="Z31" i="52"/>
  <c r="Y31" i="52"/>
  <c r="AA31" i="52"/>
  <c r="U32" i="52"/>
  <c r="V32" i="52" s="1"/>
  <c r="W32" i="52" s="1"/>
  <c r="X32" i="52" s="1"/>
  <c r="U18" i="52"/>
  <c r="V18" i="52" s="1"/>
  <c r="W18" i="52" s="1"/>
  <c r="X18" i="52" s="1"/>
  <c r="Z20" i="52"/>
  <c r="Y20" i="52"/>
  <c r="AA20" i="52"/>
  <c r="U19" i="52"/>
  <c r="V19" i="52" s="1"/>
  <c r="W19" i="52" s="1"/>
  <c r="X19" i="52" s="1"/>
  <c r="U8" i="52"/>
  <c r="V8" i="52" s="1"/>
  <c r="W8" i="52" s="1"/>
  <c r="X8" i="52" s="1"/>
  <c r="U22" i="52"/>
  <c r="V22" i="52" s="1"/>
  <c r="W22" i="52" s="1"/>
  <c r="X22" i="52" s="1"/>
  <c r="U28" i="52"/>
  <c r="V28" i="52" s="1"/>
  <c r="W28" i="52" s="1"/>
  <c r="X28" i="52" s="1"/>
  <c r="P58" i="47"/>
  <c r="Q58" i="47"/>
  <c r="R58" i="47" s="1"/>
  <c r="P54" i="47"/>
  <c r="Q54" i="47"/>
  <c r="R54" i="47" s="1"/>
  <c r="P59" i="47"/>
  <c r="Q59" i="47"/>
  <c r="R59" i="47" s="1"/>
  <c r="Q56" i="47"/>
  <c r="R56" i="47" s="1"/>
  <c r="P56" i="47"/>
  <c r="Q55" i="47"/>
  <c r="R55" i="47" s="1"/>
  <c r="P55" i="47"/>
  <c r="P57" i="47"/>
  <c r="Q57" i="47"/>
  <c r="R57" i="47" s="1"/>
  <c r="P45" i="47"/>
  <c r="Q45" i="47"/>
  <c r="R45" i="47" s="1"/>
  <c r="P39" i="47"/>
  <c r="Q39" i="47"/>
  <c r="R39" i="47" s="1"/>
  <c r="P3" i="47"/>
  <c r="Q3" i="47"/>
  <c r="R3" i="47" s="1"/>
  <c r="Q47" i="47"/>
  <c r="R47" i="47" s="1"/>
  <c r="P47" i="47"/>
  <c r="P46" i="47"/>
  <c r="Q46" i="47"/>
  <c r="R46" i="47" s="1"/>
  <c r="P18" i="47"/>
  <c r="Q18" i="47"/>
  <c r="R18" i="47" s="1"/>
  <c r="Q43" i="47"/>
  <c r="R43" i="47" s="1"/>
  <c r="P43" i="47"/>
  <c r="P44" i="47"/>
  <c r="Q44" i="47"/>
  <c r="R44" i="47" s="1"/>
  <c r="Q53" i="47"/>
  <c r="R53" i="47" s="1"/>
  <c r="P53" i="47"/>
  <c r="Q41" i="47"/>
  <c r="R41" i="47" s="1"/>
  <c r="P41" i="47"/>
  <c r="P28" i="47"/>
  <c r="Q28" i="47"/>
  <c r="R28" i="47" s="1"/>
  <c r="Q7" i="47"/>
  <c r="R7" i="47" s="1"/>
  <c r="P7" i="47"/>
  <c r="Q37" i="47"/>
  <c r="R37" i="47" s="1"/>
  <c r="P37" i="47"/>
  <c r="Q10" i="47"/>
  <c r="R10" i="47" s="1"/>
  <c r="P10" i="47"/>
  <c r="Q23" i="47"/>
  <c r="R23" i="47" s="1"/>
  <c r="P23" i="47"/>
  <c r="Q22" i="47"/>
  <c r="R22" i="47" s="1"/>
  <c r="P22" i="47"/>
  <c r="P36" i="47"/>
  <c r="Q36" i="47"/>
  <c r="R36" i="47" s="1"/>
  <c r="Q8" i="47"/>
  <c r="R8" i="47" s="1"/>
  <c r="P8" i="47"/>
  <c r="P20" i="47"/>
  <c r="Q20" i="47"/>
  <c r="R20" i="47" s="1"/>
  <c r="P19" i="47"/>
  <c r="Q19" i="47"/>
  <c r="R19" i="47" s="1"/>
  <c r="P31" i="47"/>
  <c r="Q31" i="47"/>
  <c r="R31" i="47" s="1"/>
  <c r="Q50" i="47"/>
  <c r="R50" i="47" s="1"/>
  <c r="P50" i="47"/>
  <c r="P38" i="47"/>
  <c r="Q38" i="47"/>
  <c r="R38" i="47" s="1"/>
  <c r="Q51" i="47"/>
  <c r="R51" i="47" s="1"/>
  <c r="P51" i="47"/>
  <c r="P34" i="47"/>
  <c r="Q34" i="47"/>
  <c r="R34" i="47" s="1"/>
  <c r="Q27" i="47"/>
  <c r="R27" i="47" s="1"/>
  <c r="P27" i="47"/>
  <c r="P9" i="47"/>
  <c r="Q9" i="47"/>
  <c r="R9" i="47" s="1"/>
  <c r="P5" i="47"/>
  <c r="Q5" i="47"/>
  <c r="R5" i="47" s="1"/>
  <c r="P30" i="47"/>
  <c r="Q30" i="47"/>
  <c r="R30" i="47" s="1"/>
  <c r="Q42" i="47"/>
  <c r="R42" i="47" s="1"/>
  <c r="P42" i="47"/>
  <c r="P6" i="47"/>
  <c r="Q6" i="47"/>
  <c r="R6" i="47" s="1"/>
  <c r="P26" i="47"/>
  <c r="Q26" i="47"/>
  <c r="R26" i="47" s="1"/>
  <c r="P48" i="47"/>
  <c r="Q48" i="47"/>
  <c r="R48" i="47" s="1"/>
  <c r="Q29" i="47"/>
  <c r="R29" i="47" s="1"/>
  <c r="P29" i="47"/>
  <c r="P33" i="47"/>
  <c r="Q33" i="47"/>
  <c r="R33" i="47" s="1"/>
  <c r="Q49" i="47"/>
  <c r="R49" i="47" s="1"/>
  <c r="P49" i="47"/>
  <c r="P52" i="47"/>
  <c r="Q52" i="47"/>
  <c r="R52" i="47" s="1"/>
  <c r="Q40" i="47"/>
  <c r="R40" i="47" s="1"/>
  <c r="P40" i="47"/>
  <c r="Q4" i="47"/>
  <c r="R4" i="47" s="1"/>
  <c r="P4" i="47"/>
  <c r="Q17" i="47"/>
  <c r="R17" i="47" s="1"/>
  <c r="P17" i="47"/>
  <c r="P21" i="47"/>
  <c r="Q21" i="47"/>
  <c r="R21" i="47" s="1"/>
  <c r="P35" i="47"/>
  <c r="Q35" i="47"/>
  <c r="R35" i="47" s="1"/>
  <c r="Q32" i="47"/>
  <c r="R32" i="47" s="1"/>
  <c r="P32" i="47"/>
  <c r="P25" i="47"/>
  <c r="Q25" i="47"/>
  <c r="R25" i="47" s="1"/>
  <c r="Q12" i="47"/>
  <c r="R12" i="47" s="1"/>
  <c r="P12" i="47"/>
  <c r="Q24" i="47"/>
  <c r="R24" i="47" s="1"/>
  <c r="P24" i="47"/>
  <c r="P11" i="47"/>
  <c r="Q11" i="47"/>
  <c r="R11" i="47" s="1"/>
  <c r="P9" i="38"/>
  <c r="Q9" i="38"/>
  <c r="R9" i="38" s="1"/>
  <c r="J11" i="38"/>
  <c r="B12" i="38"/>
  <c r="L10" i="38"/>
  <c r="M10" i="38"/>
  <c r="N10" i="38" s="1"/>
  <c r="B20" i="45" l="1"/>
  <c r="J19" i="45"/>
  <c r="M18" i="45"/>
  <c r="N18" i="45" s="1"/>
  <c r="L18" i="45"/>
  <c r="P17" i="45"/>
  <c r="Q17" i="45"/>
  <c r="R17" i="45" s="1"/>
  <c r="K23" i="45"/>
  <c r="I24" i="45"/>
  <c r="AA27" i="52"/>
  <c r="Z27" i="52"/>
  <c r="Z39" i="52"/>
  <c r="AA4" i="52"/>
  <c r="Z4" i="52"/>
  <c r="AA39" i="52"/>
  <c r="Z38" i="52"/>
  <c r="Y38" i="52"/>
  <c r="AA43" i="52"/>
  <c r="Y43" i="52"/>
  <c r="Z40" i="52"/>
  <c r="AA40" i="52"/>
  <c r="Y9" i="52"/>
  <c r="AA9" i="52"/>
  <c r="Y5" i="52"/>
  <c r="Z44" i="52"/>
  <c r="Y44" i="52"/>
  <c r="AA44" i="52"/>
  <c r="Y42" i="52"/>
  <c r="Z42" i="52"/>
  <c r="AA42" i="52"/>
  <c r="Y11" i="52"/>
  <c r="Z37" i="52"/>
  <c r="Y37" i="52"/>
  <c r="AA37" i="52"/>
  <c r="Z36" i="52"/>
  <c r="Y36" i="52"/>
  <c r="AA36" i="52"/>
  <c r="Z41" i="52"/>
  <c r="Y41" i="52"/>
  <c r="AA41" i="52"/>
  <c r="AA11" i="52"/>
  <c r="Y17" i="52"/>
  <c r="Y7" i="52"/>
  <c r="AA17" i="52"/>
  <c r="AA21" i="52"/>
  <c r="Y33" i="52"/>
  <c r="Z33" i="52"/>
  <c r="AA33" i="52"/>
  <c r="AA7" i="52"/>
  <c r="Z34" i="52"/>
  <c r="Y34" i="52"/>
  <c r="AA34" i="52"/>
  <c r="Y35" i="52"/>
  <c r="Z35" i="52"/>
  <c r="AA35" i="52"/>
  <c r="Z3" i="52"/>
  <c r="AA3" i="52"/>
  <c r="AA5" i="52"/>
  <c r="Z28" i="52"/>
  <c r="Y28" i="52"/>
  <c r="AA28" i="52"/>
  <c r="Y18" i="52"/>
  <c r="Z18" i="52"/>
  <c r="AA18" i="52"/>
  <c r="Z25" i="52"/>
  <c r="Y25" i="52"/>
  <c r="AA25" i="52"/>
  <c r="Y6" i="52"/>
  <c r="Z6" i="52"/>
  <c r="AA6" i="52"/>
  <c r="Y30" i="52"/>
  <c r="Z30" i="52"/>
  <c r="AA30" i="52"/>
  <c r="Z24" i="52"/>
  <c r="Y24" i="52"/>
  <c r="AA24" i="52"/>
  <c r="Y12" i="52"/>
  <c r="Z12" i="52"/>
  <c r="AA12" i="52"/>
  <c r="Y8" i="52"/>
  <c r="Z8" i="52"/>
  <c r="AA8" i="52"/>
  <c r="Y19" i="52"/>
  <c r="Z19" i="52"/>
  <c r="AA19" i="52"/>
  <c r="Y26" i="52"/>
  <c r="Z26" i="52"/>
  <c r="AA26" i="52"/>
  <c r="Z22" i="52"/>
  <c r="Y22" i="52"/>
  <c r="AA22" i="52"/>
  <c r="Z10" i="52"/>
  <c r="Y10" i="52"/>
  <c r="AA10" i="52"/>
  <c r="Z32" i="52"/>
  <c r="Y32" i="52"/>
  <c r="AA32" i="52"/>
  <c r="Z29" i="52"/>
  <c r="Y29" i="52"/>
  <c r="AA29" i="52"/>
  <c r="Z23" i="52"/>
  <c r="Y23" i="52"/>
  <c r="AA23" i="52"/>
  <c r="S54" i="47"/>
  <c r="T57" i="47"/>
  <c r="S58" i="47"/>
  <c r="T55" i="47"/>
  <c r="T54" i="47"/>
  <c r="S55" i="47"/>
  <c r="T58" i="47"/>
  <c r="S59" i="47"/>
  <c r="T59" i="47"/>
  <c r="T56" i="47"/>
  <c r="S57" i="47"/>
  <c r="S56" i="47"/>
  <c r="T53" i="47"/>
  <c r="S53" i="47"/>
  <c r="T50" i="47"/>
  <c r="S34" i="47"/>
  <c r="S44" i="47"/>
  <c r="T22" i="47"/>
  <c r="T43" i="47"/>
  <c r="T10" i="47"/>
  <c r="T27" i="47"/>
  <c r="T34" i="47"/>
  <c r="S23" i="47"/>
  <c r="T35" i="47"/>
  <c r="T24" i="47"/>
  <c r="S33" i="47"/>
  <c r="T42" i="47"/>
  <c r="T4" i="47"/>
  <c r="S8" i="47"/>
  <c r="S42" i="47"/>
  <c r="S3" i="47"/>
  <c r="T39" i="47"/>
  <c r="S38" i="47"/>
  <c r="S5" i="47"/>
  <c r="S40" i="47"/>
  <c r="S35" i="47"/>
  <c r="U35" i="47" s="1"/>
  <c r="V35" i="47" s="1"/>
  <c r="W35" i="47" s="1"/>
  <c r="X35" i="47" s="1"/>
  <c r="AA35" i="47" s="1"/>
  <c r="T32" i="47"/>
  <c r="S28" i="47"/>
  <c r="T40" i="47"/>
  <c r="T9" i="47"/>
  <c r="S52" i="47"/>
  <c r="S25" i="47"/>
  <c r="S12" i="47"/>
  <c r="T37" i="47"/>
  <c r="T3" i="47"/>
  <c r="T46" i="47"/>
  <c r="S32" i="47"/>
  <c r="T29" i="47"/>
  <c r="S51" i="47"/>
  <c r="T52" i="47"/>
  <c r="S50" i="47"/>
  <c r="U50" i="47" s="1"/>
  <c r="V50" i="47" s="1"/>
  <c r="W50" i="47" s="1"/>
  <c r="X50" i="47" s="1"/>
  <c r="Z50" i="47" s="1"/>
  <c r="S31" i="47"/>
  <c r="T25" i="47"/>
  <c r="S18" i="47"/>
  <c r="S41" i="47"/>
  <c r="S43" i="47"/>
  <c r="T28" i="47"/>
  <c r="T48" i="47"/>
  <c r="S19" i="47"/>
  <c r="T38" i="47"/>
  <c r="S17" i="47"/>
  <c r="S20" i="47"/>
  <c r="T18" i="47"/>
  <c r="T41" i="47"/>
  <c r="S9" i="47"/>
  <c r="S24" i="47"/>
  <c r="T19" i="47"/>
  <c r="T17" i="47"/>
  <c r="S21" i="47"/>
  <c r="S30" i="47"/>
  <c r="S7" i="47"/>
  <c r="T47" i="47"/>
  <c r="S36" i="47"/>
  <c r="T20" i="47"/>
  <c r="T11" i="47"/>
  <c r="S39" i="47"/>
  <c r="T30" i="47"/>
  <c r="S46" i="47"/>
  <c r="U46" i="47" s="1"/>
  <c r="V46" i="47" s="1"/>
  <c r="W46" i="47" s="1"/>
  <c r="X46" i="47" s="1"/>
  <c r="T51" i="47"/>
  <c r="T49" i="47"/>
  <c r="S10" i="47"/>
  <c r="T44" i="47"/>
  <c r="S4" i="47"/>
  <c r="S27" i="47"/>
  <c r="T26" i="47"/>
  <c r="T8" i="47"/>
  <c r="T45" i="47"/>
  <c r="T5" i="47"/>
  <c r="T31" i="47"/>
  <c r="T7" i="47"/>
  <c r="S11" i="47"/>
  <c r="S47" i="47"/>
  <c r="U47" i="47" s="1"/>
  <c r="V47" i="47" s="1"/>
  <c r="W47" i="47" s="1"/>
  <c r="X47" i="47" s="1"/>
  <c r="T23" i="47"/>
  <c r="S48" i="47"/>
  <c r="S29" i="47"/>
  <c r="T33" i="47"/>
  <c r="T21" i="47"/>
  <c r="T12" i="47"/>
  <c r="S49" i="47"/>
  <c r="T36" i="47"/>
  <c r="S26" i="47"/>
  <c r="S37" i="47"/>
  <c r="S45" i="47"/>
  <c r="T6" i="47"/>
  <c r="S6" i="47"/>
  <c r="S22" i="47"/>
  <c r="U22" i="47" s="1"/>
  <c r="V22" i="47" s="1"/>
  <c r="W22" i="47" s="1"/>
  <c r="X22" i="47" s="1"/>
  <c r="L11" i="38"/>
  <c r="M11" i="38"/>
  <c r="N11" i="38" s="1"/>
  <c r="Q10" i="38"/>
  <c r="R10" i="38" s="1"/>
  <c r="P10" i="38"/>
  <c r="J12" i="38"/>
  <c r="B13" i="38"/>
  <c r="J13" i="38" s="1"/>
  <c r="P18" i="45" l="1"/>
  <c r="Q18" i="45"/>
  <c r="R18" i="45" s="1"/>
  <c r="K24" i="45"/>
  <c r="I25" i="45"/>
  <c r="M19" i="45"/>
  <c r="N19" i="45" s="1"/>
  <c r="L19" i="45"/>
  <c r="B21" i="45"/>
  <c r="J20" i="45"/>
  <c r="U45" i="47"/>
  <c r="V45" i="47" s="1"/>
  <c r="W45" i="47" s="1"/>
  <c r="X45" i="47" s="1"/>
  <c r="U48" i="47"/>
  <c r="V48" i="47" s="1"/>
  <c r="W48" i="47" s="1"/>
  <c r="X48" i="47" s="1"/>
  <c r="Z48" i="47" s="1"/>
  <c r="Y60" i="52"/>
  <c r="Y61" i="52" s="1"/>
  <c r="AA60" i="52"/>
  <c r="AA61" i="52" s="1"/>
  <c r="Z60" i="52"/>
  <c r="Z61" i="52" s="1"/>
  <c r="U57" i="47"/>
  <c r="V57" i="47" s="1"/>
  <c r="W57" i="47" s="1"/>
  <c r="X57" i="47" s="1"/>
  <c r="Z57" i="47" s="1"/>
  <c r="U27" i="47"/>
  <c r="V27" i="47" s="1"/>
  <c r="W27" i="47" s="1"/>
  <c r="X27" i="47" s="1"/>
  <c r="AA27" i="47" s="1"/>
  <c r="U32" i="47"/>
  <c r="V32" i="47" s="1"/>
  <c r="W32" i="47" s="1"/>
  <c r="X32" i="47" s="1"/>
  <c r="Z32" i="47" s="1"/>
  <c r="U24" i="47"/>
  <c r="V24" i="47" s="1"/>
  <c r="W24" i="47" s="1"/>
  <c r="X24" i="47" s="1"/>
  <c r="U43" i="47"/>
  <c r="V43" i="47" s="1"/>
  <c r="W43" i="47" s="1"/>
  <c r="X43" i="47" s="1"/>
  <c r="Y43" i="47" s="1"/>
  <c r="AA50" i="47"/>
  <c r="U56" i="47"/>
  <c r="V56" i="47" s="1"/>
  <c r="W56" i="47" s="1"/>
  <c r="X56" i="47" s="1"/>
  <c r="Y56" i="47" s="1"/>
  <c r="AA48" i="47"/>
  <c r="U34" i="47"/>
  <c r="V34" i="47" s="1"/>
  <c r="W34" i="47" s="1"/>
  <c r="X34" i="47" s="1"/>
  <c r="AA34" i="47" s="1"/>
  <c r="U59" i="47"/>
  <c r="V59" i="47" s="1"/>
  <c r="W59" i="47" s="1"/>
  <c r="X59" i="47" s="1"/>
  <c r="Y59" i="47" s="1"/>
  <c r="Y48" i="47"/>
  <c r="U49" i="47"/>
  <c r="V49" i="47" s="1"/>
  <c r="W49" i="47" s="1"/>
  <c r="X49" i="47" s="1"/>
  <c r="Z49" i="47" s="1"/>
  <c r="U7" i="47"/>
  <c r="V7" i="47" s="1"/>
  <c r="W7" i="47" s="1"/>
  <c r="X7" i="47" s="1"/>
  <c r="AA7" i="47" s="1"/>
  <c r="U41" i="47"/>
  <c r="V41" i="47" s="1"/>
  <c r="W41" i="47" s="1"/>
  <c r="X41" i="47" s="1"/>
  <c r="Y41" i="47" s="1"/>
  <c r="U58" i="47"/>
  <c r="V58" i="47" s="1"/>
  <c r="W58" i="47" s="1"/>
  <c r="X58" i="47" s="1"/>
  <c r="U30" i="47"/>
  <c r="V30" i="47" s="1"/>
  <c r="W30" i="47" s="1"/>
  <c r="X30" i="47" s="1"/>
  <c r="U53" i="47"/>
  <c r="V53" i="47" s="1"/>
  <c r="W53" i="47" s="1"/>
  <c r="X53" i="47" s="1"/>
  <c r="Z53" i="47" s="1"/>
  <c r="U55" i="47"/>
  <c r="V55" i="47" s="1"/>
  <c r="W55" i="47" s="1"/>
  <c r="X55" i="47" s="1"/>
  <c r="U10" i="47"/>
  <c r="V10" i="47" s="1"/>
  <c r="W10" i="47" s="1"/>
  <c r="X10" i="47" s="1"/>
  <c r="AA10" i="47" s="1"/>
  <c r="U54" i="47"/>
  <c r="V54" i="47" s="1"/>
  <c r="W54" i="47" s="1"/>
  <c r="X54" i="47" s="1"/>
  <c r="U19" i="47"/>
  <c r="V19" i="47" s="1"/>
  <c r="W19" i="47" s="1"/>
  <c r="X19" i="47" s="1"/>
  <c r="Y45" i="47"/>
  <c r="AA45" i="47"/>
  <c r="Z45" i="47"/>
  <c r="AA47" i="47"/>
  <c r="Y47" i="47"/>
  <c r="Z47" i="47"/>
  <c r="Z46" i="47"/>
  <c r="AA46" i="47"/>
  <c r="Y46" i="47"/>
  <c r="U20" i="47"/>
  <c r="V20" i="47" s="1"/>
  <c r="W20" i="47" s="1"/>
  <c r="X20" i="47" s="1"/>
  <c r="U18" i="47"/>
  <c r="V18" i="47" s="1"/>
  <c r="W18" i="47" s="1"/>
  <c r="X18" i="47" s="1"/>
  <c r="U12" i="47"/>
  <c r="V12" i="47" s="1"/>
  <c r="W12" i="47" s="1"/>
  <c r="X12" i="47" s="1"/>
  <c r="U40" i="47"/>
  <c r="V40" i="47" s="1"/>
  <c r="W40" i="47" s="1"/>
  <c r="X40" i="47" s="1"/>
  <c r="U3" i="47"/>
  <c r="V3" i="47" s="1"/>
  <c r="W3" i="47" s="1"/>
  <c r="X3" i="47" s="1"/>
  <c r="U23" i="47"/>
  <c r="V23" i="47" s="1"/>
  <c r="W23" i="47" s="1"/>
  <c r="X23" i="47" s="1"/>
  <c r="Z35" i="47"/>
  <c r="Y50" i="47"/>
  <c r="Y35" i="47"/>
  <c r="Z22" i="47"/>
  <c r="AA22" i="47"/>
  <c r="Y22" i="47"/>
  <c r="U37" i="47"/>
  <c r="V37" i="47" s="1"/>
  <c r="W37" i="47" s="1"/>
  <c r="X37" i="47" s="1"/>
  <c r="U29" i="47"/>
  <c r="V29" i="47" s="1"/>
  <c r="W29" i="47" s="1"/>
  <c r="X29" i="47" s="1"/>
  <c r="U11" i="47"/>
  <c r="V11" i="47" s="1"/>
  <c r="W11" i="47" s="1"/>
  <c r="X11" i="47" s="1"/>
  <c r="U4" i="47"/>
  <c r="V4" i="47" s="1"/>
  <c r="W4" i="47" s="1"/>
  <c r="X4" i="47" s="1"/>
  <c r="U36" i="47"/>
  <c r="V36" i="47" s="1"/>
  <c r="W36" i="47" s="1"/>
  <c r="X36" i="47" s="1"/>
  <c r="U21" i="47"/>
  <c r="V21" i="47" s="1"/>
  <c r="W21" i="47" s="1"/>
  <c r="X21" i="47" s="1"/>
  <c r="U9" i="47"/>
  <c r="V9" i="47" s="1"/>
  <c r="W9" i="47" s="1"/>
  <c r="X9" i="47" s="1"/>
  <c r="U17" i="47"/>
  <c r="V17" i="47" s="1"/>
  <c r="W17" i="47" s="1"/>
  <c r="X17" i="47" s="1"/>
  <c r="U25" i="47"/>
  <c r="V25" i="47" s="1"/>
  <c r="W25" i="47" s="1"/>
  <c r="X25" i="47" s="1"/>
  <c r="U28" i="47"/>
  <c r="V28" i="47" s="1"/>
  <c r="W28" i="47" s="1"/>
  <c r="X28" i="47" s="1"/>
  <c r="U5" i="47"/>
  <c r="V5" i="47" s="1"/>
  <c r="W5" i="47" s="1"/>
  <c r="X5" i="47" s="1"/>
  <c r="U42" i="47"/>
  <c r="V42" i="47" s="1"/>
  <c r="W42" i="47" s="1"/>
  <c r="X42" i="47" s="1"/>
  <c r="U33" i="47"/>
  <c r="V33" i="47" s="1"/>
  <c r="W33" i="47" s="1"/>
  <c r="X33" i="47" s="1"/>
  <c r="U6" i="47"/>
  <c r="V6" i="47" s="1"/>
  <c r="W6" i="47" s="1"/>
  <c r="X6" i="47" s="1"/>
  <c r="U26" i="47"/>
  <c r="V26" i="47" s="1"/>
  <c r="W26" i="47" s="1"/>
  <c r="X26" i="47" s="1"/>
  <c r="U39" i="47"/>
  <c r="V39" i="47" s="1"/>
  <c r="W39" i="47" s="1"/>
  <c r="X39" i="47" s="1"/>
  <c r="U31" i="47"/>
  <c r="V31" i="47" s="1"/>
  <c r="W31" i="47" s="1"/>
  <c r="X31" i="47" s="1"/>
  <c r="U51" i="47"/>
  <c r="V51" i="47" s="1"/>
  <c r="W51" i="47" s="1"/>
  <c r="X51" i="47" s="1"/>
  <c r="U52" i="47"/>
  <c r="V52" i="47" s="1"/>
  <c r="W52" i="47" s="1"/>
  <c r="X52" i="47" s="1"/>
  <c r="U38" i="47"/>
  <c r="V38" i="47" s="1"/>
  <c r="W38" i="47" s="1"/>
  <c r="X38" i="47" s="1"/>
  <c r="U8" i="47"/>
  <c r="V8" i="47" s="1"/>
  <c r="W8" i="47" s="1"/>
  <c r="X8" i="47" s="1"/>
  <c r="U44" i="47"/>
  <c r="V44" i="47" s="1"/>
  <c r="W44" i="47" s="1"/>
  <c r="X44" i="47" s="1"/>
  <c r="M13" i="38"/>
  <c r="N13" i="38" s="1"/>
  <c r="L13" i="38"/>
  <c r="P11" i="38"/>
  <c r="Q11" i="38"/>
  <c r="R11" i="38" s="1"/>
  <c r="L12" i="38"/>
  <c r="M12" i="38"/>
  <c r="N12" i="38" s="1"/>
  <c r="B22" i="45" l="1"/>
  <c r="J21" i="45"/>
  <c r="K25" i="45"/>
  <c r="I26" i="45"/>
  <c r="L20" i="45"/>
  <c r="M20" i="45"/>
  <c r="N20" i="45" s="1"/>
  <c r="P19" i="45"/>
  <c r="Q19" i="45"/>
  <c r="R19" i="45" s="1"/>
  <c r="AA57" i="47"/>
  <c r="Y57" i="47"/>
  <c r="Z43" i="47"/>
  <c r="AB61" i="52"/>
  <c r="AA49" i="47"/>
  <c r="Y27" i="47"/>
  <c r="AA43" i="47"/>
  <c r="Z27" i="47"/>
  <c r="Y34" i="47"/>
  <c r="Z7" i="47"/>
  <c r="AA53" i="47"/>
  <c r="Y24" i="47"/>
  <c r="Z24" i="47"/>
  <c r="AA24" i="47"/>
  <c r="Y53" i="47"/>
  <c r="Y32" i="47"/>
  <c r="AA32" i="47"/>
  <c r="Z34" i="47"/>
  <c r="AA59" i="47"/>
  <c r="Y7" i="47"/>
  <c r="Z41" i="47"/>
  <c r="AA41" i="47"/>
  <c r="Z59" i="47"/>
  <c r="AA56" i="47"/>
  <c r="Z56" i="47"/>
  <c r="Z55" i="47"/>
  <c r="Y55" i="47"/>
  <c r="AA55" i="47"/>
  <c r="Y54" i="47"/>
  <c r="Z54" i="47"/>
  <c r="AA54" i="47"/>
  <c r="Y49" i="47"/>
  <c r="Y10" i="47"/>
  <c r="Z10" i="47"/>
  <c r="AA30" i="47"/>
  <c r="Y30" i="47"/>
  <c r="Z30" i="47"/>
  <c r="Y58" i="47"/>
  <c r="Z58" i="47"/>
  <c r="AA58" i="47"/>
  <c r="AA42" i="47"/>
  <c r="Z42" i="47"/>
  <c r="Y42" i="47"/>
  <c r="AA36" i="47"/>
  <c r="Z36" i="47"/>
  <c r="Y36" i="47"/>
  <c r="AA19" i="47"/>
  <c r="Y19" i="47"/>
  <c r="Z19" i="47"/>
  <c r="AA44" i="47"/>
  <c r="Z44" i="47"/>
  <c r="Y44" i="47"/>
  <c r="Y51" i="47"/>
  <c r="AA51" i="47"/>
  <c r="Z51" i="47"/>
  <c r="AA5" i="47"/>
  <c r="Y5" i="47"/>
  <c r="Z5" i="47"/>
  <c r="Z17" i="47"/>
  <c r="Y17" i="47"/>
  <c r="AA17" i="47"/>
  <c r="AA4" i="47"/>
  <c r="Y4" i="47"/>
  <c r="Z4" i="47"/>
  <c r="AA12" i="47"/>
  <c r="Y12" i="47"/>
  <c r="Z12" i="47"/>
  <c r="Y6" i="47"/>
  <c r="AA6" i="47"/>
  <c r="Z6" i="47"/>
  <c r="Y40" i="47"/>
  <c r="Z40" i="47"/>
  <c r="AA40" i="47"/>
  <c r="Z8" i="47"/>
  <c r="Y8" i="47"/>
  <c r="AA8" i="47"/>
  <c r="AA31" i="47"/>
  <c r="Z31" i="47"/>
  <c r="Y31" i="47"/>
  <c r="Y39" i="47"/>
  <c r="AA39" i="47"/>
  <c r="Z39" i="47"/>
  <c r="Y28" i="47"/>
  <c r="AA28" i="47"/>
  <c r="Z28" i="47"/>
  <c r="AA9" i="47"/>
  <c r="Z9" i="47"/>
  <c r="Y9" i="47"/>
  <c r="AA11" i="47"/>
  <c r="Z11" i="47"/>
  <c r="Y11" i="47"/>
  <c r="Z23" i="47"/>
  <c r="AA23" i="47"/>
  <c r="Y23" i="47"/>
  <c r="Z18" i="47"/>
  <c r="AA18" i="47"/>
  <c r="Y18" i="47"/>
  <c r="AA52" i="47"/>
  <c r="Z52" i="47"/>
  <c r="Y52" i="47"/>
  <c r="AA37" i="47"/>
  <c r="Z37" i="47"/>
  <c r="Y37" i="47"/>
  <c r="Z38" i="47"/>
  <c r="AA38" i="47"/>
  <c r="Y38" i="47"/>
  <c r="Y26" i="47"/>
  <c r="Z26" i="47"/>
  <c r="AA26" i="47"/>
  <c r="AA33" i="47"/>
  <c r="Z33" i="47"/>
  <c r="Y33" i="47"/>
  <c r="Y25" i="47"/>
  <c r="Z25" i="47"/>
  <c r="AA25" i="47"/>
  <c r="AA21" i="47"/>
  <c r="Y21" i="47"/>
  <c r="Z21" i="47"/>
  <c r="AA29" i="47"/>
  <c r="Y29" i="47"/>
  <c r="Z29" i="47"/>
  <c r="AA3" i="47"/>
  <c r="Y3" i="47"/>
  <c r="Z3" i="47"/>
  <c r="Z20" i="47"/>
  <c r="Y20" i="47"/>
  <c r="AA20" i="47"/>
  <c r="Q12" i="38"/>
  <c r="R12" i="38" s="1"/>
  <c r="P12" i="38"/>
  <c r="P13" i="38"/>
  <c r="Q13" i="38"/>
  <c r="R13" i="38" s="1"/>
  <c r="P20" i="45" l="1"/>
  <c r="Q20" i="45"/>
  <c r="R20" i="45" s="1"/>
  <c r="L21" i="45"/>
  <c r="M21" i="45"/>
  <c r="N21" i="45" s="1"/>
  <c r="I27" i="45"/>
  <c r="I28" i="45" s="1"/>
  <c r="K26" i="45"/>
  <c r="B23" i="45"/>
  <c r="J22" i="45"/>
  <c r="Y60" i="47"/>
  <c r="Y61" i="47" s="1"/>
  <c r="AA60" i="47"/>
  <c r="AA61" i="47" s="1"/>
  <c r="Z60" i="47"/>
  <c r="Z61" i="47" s="1"/>
  <c r="S32" i="38"/>
  <c r="T27" i="38"/>
  <c r="S3" i="38"/>
  <c r="T20" i="38"/>
  <c r="S28" i="38"/>
  <c r="S25" i="38"/>
  <c r="S38" i="38"/>
  <c r="T39" i="38"/>
  <c r="S23" i="38"/>
  <c r="T30" i="38"/>
  <c r="T11" i="38"/>
  <c r="S8" i="38"/>
  <c r="T34" i="38"/>
  <c r="S34" i="38"/>
  <c r="S5" i="38"/>
  <c r="S30" i="38"/>
  <c r="S27" i="38"/>
  <c r="T23" i="38"/>
  <c r="S29" i="38"/>
  <c r="S12" i="38"/>
  <c r="T29" i="38"/>
  <c r="T25" i="38"/>
  <c r="T36" i="38"/>
  <c r="T31" i="38"/>
  <c r="S11" i="38"/>
  <c r="S13" i="38"/>
  <c r="T4" i="38"/>
  <c r="S33" i="38"/>
  <c r="T5" i="38"/>
  <c r="S10" i="38"/>
  <c r="S36" i="38"/>
  <c r="S7" i="38"/>
  <c r="S9" i="38"/>
  <c r="S31" i="38"/>
  <c r="T22" i="38"/>
  <c r="T18" i="38"/>
  <c r="S4" i="38"/>
  <c r="T37" i="38"/>
  <c r="T33" i="38"/>
  <c r="S35" i="38"/>
  <c r="S20" i="38"/>
  <c r="T6" i="38"/>
  <c r="T10" i="38"/>
  <c r="T8" i="38"/>
  <c r="U8" i="38" s="1"/>
  <c r="V8" i="38" s="1"/>
  <c r="W8" i="38" s="1"/>
  <c r="X8" i="38" s="1"/>
  <c r="S17" i="38"/>
  <c r="T19" i="38"/>
  <c r="T9" i="38"/>
  <c r="S37" i="38"/>
  <c r="T38" i="38"/>
  <c r="S18" i="38"/>
  <c r="S6" i="38"/>
  <c r="S19" i="38"/>
  <c r="T21" i="38"/>
  <c r="S21" i="38"/>
  <c r="T3" i="38"/>
  <c r="S22" i="38"/>
  <c r="S24" i="38"/>
  <c r="T32" i="38"/>
  <c r="T13" i="38"/>
  <c r="T26" i="38"/>
  <c r="T24" i="38"/>
  <c r="S39" i="38"/>
  <c r="T7" i="38"/>
  <c r="T35" i="38"/>
  <c r="T12" i="38"/>
  <c r="S26" i="38"/>
  <c r="T17" i="38"/>
  <c r="T28" i="38"/>
  <c r="I29" i="45" l="1"/>
  <c r="K28" i="45"/>
  <c r="Q21" i="45"/>
  <c r="R21" i="45" s="1"/>
  <c r="P21" i="45"/>
  <c r="L22" i="45"/>
  <c r="M22" i="45"/>
  <c r="N22" i="45" s="1"/>
  <c r="K27" i="45"/>
  <c r="B24" i="45"/>
  <c r="J23" i="45"/>
  <c r="X22" i="39"/>
  <c r="X22" i="75"/>
  <c r="X22" i="74"/>
  <c r="X22" i="72"/>
  <c r="U25" i="38"/>
  <c r="V25" i="38" s="1"/>
  <c r="W25" i="38" s="1"/>
  <c r="X25" i="38" s="1"/>
  <c r="Z25" i="38" s="1"/>
  <c r="U36" i="38"/>
  <c r="V36" i="38" s="1"/>
  <c r="W36" i="38" s="1"/>
  <c r="X36" i="38" s="1"/>
  <c r="Z36" i="38" s="1"/>
  <c r="AB61" i="47"/>
  <c r="U3" i="38"/>
  <c r="V3" i="38" s="1"/>
  <c r="W3" i="38" s="1"/>
  <c r="X3" i="38" s="1"/>
  <c r="Y3" i="38" s="1"/>
  <c r="U32" i="38"/>
  <c r="V32" i="38" s="1"/>
  <c r="W32" i="38" s="1"/>
  <c r="X32" i="38" s="1"/>
  <c r="Z32" i="38" s="1"/>
  <c r="U26" i="38"/>
  <c r="V26" i="38" s="1"/>
  <c r="W26" i="38" s="1"/>
  <c r="X26" i="38" s="1"/>
  <c r="Z26" i="38" s="1"/>
  <c r="U39" i="38"/>
  <c r="V39" i="38" s="1"/>
  <c r="W39" i="38" s="1"/>
  <c r="X39" i="38" s="1"/>
  <c r="Z39" i="38" s="1"/>
  <c r="U18" i="38"/>
  <c r="V18" i="38" s="1"/>
  <c r="W18" i="38" s="1"/>
  <c r="X18" i="38" s="1"/>
  <c r="Y18" i="38" s="1"/>
  <c r="U31" i="38"/>
  <c r="V31" i="38" s="1"/>
  <c r="W31" i="38" s="1"/>
  <c r="X31" i="38" s="1"/>
  <c r="Z31" i="38" s="1"/>
  <c r="U38" i="38"/>
  <c r="V38" i="38" s="1"/>
  <c r="W38" i="38" s="1"/>
  <c r="X38" i="38" s="1"/>
  <c r="Z38" i="38" s="1"/>
  <c r="U20" i="38"/>
  <c r="V20" i="38" s="1"/>
  <c r="W20" i="38" s="1"/>
  <c r="X20" i="38" s="1"/>
  <c r="Y20" i="38" s="1"/>
  <c r="U4" i="38"/>
  <c r="V4" i="38" s="1"/>
  <c r="W4" i="38" s="1"/>
  <c r="X4" i="38" s="1"/>
  <c r="Z4" i="38" s="1"/>
  <c r="U5" i="38"/>
  <c r="V5" i="38" s="1"/>
  <c r="W5" i="38" s="1"/>
  <c r="X5" i="38" s="1"/>
  <c r="Z5" i="38" s="1"/>
  <c r="U11" i="38"/>
  <c r="V11" i="38" s="1"/>
  <c r="W11" i="38" s="1"/>
  <c r="X11" i="38" s="1"/>
  <c r="U27" i="38"/>
  <c r="V27" i="38" s="1"/>
  <c r="W27" i="38" s="1"/>
  <c r="X27" i="38" s="1"/>
  <c r="AA27" i="38" s="1"/>
  <c r="U28" i="38"/>
  <c r="V28" i="38" s="1"/>
  <c r="W28" i="38" s="1"/>
  <c r="X28" i="38" s="1"/>
  <c r="AA28" i="38" s="1"/>
  <c r="U22" i="38"/>
  <c r="V22" i="38" s="1"/>
  <c r="W22" i="38" s="1"/>
  <c r="X22" i="38" s="1"/>
  <c r="U23" i="38"/>
  <c r="V23" i="38" s="1"/>
  <c r="W23" i="38" s="1"/>
  <c r="X23" i="38" s="1"/>
  <c r="Y23" i="38" s="1"/>
  <c r="U17" i="38"/>
  <c r="V17" i="38" s="1"/>
  <c r="W17" i="38" s="1"/>
  <c r="X17" i="38" s="1"/>
  <c r="U34" i="38"/>
  <c r="V34" i="38" s="1"/>
  <c r="W34" i="38" s="1"/>
  <c r="X34" i="38" s="1"/>
  <c r="U30" i="38"/>
  <c r="V30" i="38" s="1"/>
  <c r="W30" i="38" s="1"/>
  <c r="X30" i="38" s="1"/>
  <c r="U21" i="38"/>
  <c r="V21" i="38" s="1"/>
  <c r="W21" i="38" s="1"/>
  <c r="X21" i="38" s="1"/>
  <c r="Z21" i="38" s="1"/>
  <c r="U10" i="38"/>
  <c r="V10" i="38" s="1"/>
  <c r="W10" i="38" s="1"/>
  <c r="X10" i="38" s="1"/>
  <c r="Z10" i="38" s="1"/>
  <c r="U13" i="38"/>
  <c r="V13" i="38" s="1"/>
  <c r="W13" i="38" s="1"/>
  <c r="X13" i="38" s="1"/>
  <c r="Z13" i="38" s="1"/>
  <c r="Z8" i="38"/>
  <c r="AA8" i="38"/>
  <c r="Y8" i="38"/>
  <c r="U24" i="38"/>
  <c r="V24" i="38" s="1"/>
  <c r="W24" i="38" s="1"/>
  <c r="X24" i="38" s="1"/>
  <c r="U9" i="38"/>
  <c r="V9" i="38" s="1"/>
  <c r="W9" i="38" s="1"/>
  <c r="X9" i="38" s="1"/>
  <c r="U19" i="38"/>
  <c r="V19" i="38" s="1"/>
  <c r="W19" i="38" s="1"/>
  <c r="X19" i="38" s="1"/>
  <c r="U37" i="38"/>
  <c r="V37" i="38" s="1"/>
  <c r="W37" i="38" s="1"/>
  <c r="X37" i="38" s="1"/>
  <c r="U35" i="38"/>
  <c r="V35" i="38" s="1"/>
  <c r="W35" i="38" s="1"/>
  <c r="X35" i="38" s="1"/>
  <c r="U7" i="38"/>
  <c r="V7" i="38" s="1"/>
  <c r="W7" i="38" s="1"/>
  <c r="X7" i="38" s="1"/>
  <c r="U33" i="38"/>
  <c r="V33" i="38" s="1"/>
  <c r="W33" i="38" s="1"/>
  <c r="X33" i="38" s="1"/>
  <c r="U12" i="38"/>
  <c r="V12" i="38" s="1"/>
  <c r="W12" i="38" s="1"/>
  <c r="X12" i="38" s="1"/>
  <c r="U6" i="38"/>
  <c r="V6" i="38" s="1"/>
  <c r="W6" i="38" s="1"/>
  <c r="X6" i="38" s="1"/>
  <c r="U29" i="38"/>
  <c r="V29" i="38" s="1"/>
  <c r="W29" i="38" s="1"/>
  <c r="X29" i="38" s="1"/>
  <c r="I30" i="45" l="1"/>
  <c r="K29" i="45"/>
  <c r="L23" i="45"/>
  <c r="M23" i="45"/>
  <c r="N23" i="45" s="1"/>
  <c r="B25" i="45"/>
  <c r="J24" i="45"/>
  <c r="P22" i="45"/>
  <c r="Q22" i="45"/>
  <c r="R22" i="45" s="1"/>
  <c r="Y36" i="38"/>
  <c r="AA25" i="38"/>
  <c r="Y25" i="38"/>
  <c r="AA36" i="38"/>
  <c r="Y32" i="38"/>
  <c r="AA3" i="38"/>
  <c r="Z3" i="38"/>
  <c r="Y5" i="38"/>
  <c r="AA20" i="38"/>
  <c r="AA26" i="38"/>
  <c r="AA5" i="38"/>
  <c r="Y26" i="38"/>
  <c r="Y38" i="38"/>
  <c r="Y28" i="38"/>
  <c r="AA38" i="38"/>
  <c r="Y39" i="38"/>
  <c r="AA39" i="38"/>
  <c r="Z28" i="38"/>
  <c r="AA32" i="38"/>
  <c r="AA31" i="38"/>
  <c r="AA21" i="38"/>
  <c r="AA23" i="38"/>
  <c r="Z23" i="38"/>
  <c r="Y4" i="38"/>
  <c r="Z20" i="38"/>
  <c r="Z11" i="38"/>
  <c r="Y11" i="38"/>
  <c r="AA11" i="38"/>
  <c r="Z18" i="38"/>
  <c r="AA18" i="38"/>
  <c r="Y31" i="38"/>
  <c r="AA4" i="38"/>
  <c r="AA13" i="38"/>
  <c r="Y13" i="38"/>
  <c r="Y10" i="38"/>
  <c r="Z27" i="38"/>
  <c r="Y27" i="38"/>
  <c r="Z22" i="38"/>
  <c r="Y22" i="38"/>
  <c r="AA22" i="38"/>
  <c r="AA10" i="38"/>
  <c r="Y21" i="38"/>
  <c r="Z30" i="38"/>
  <c r="Y30" i="38"/>
  <c r="AA30" i="38"/>
  <c r="Z34" i="38"/>
  <c r="AA34" i="38"/>
  <c r="Y34" i="38"/>
  <c r="Z17" i="38"/>
  <c r="Y17" i="38"/>
  <c r="AA17" i="38"/>
  <c r="Z33" i="38"/>
  <c r="Y33" i="38"/>
  <c r="AA33" i="38"/>
  <c r="Z7" i="38"/>
  <c r="Y7" i="38"/>
  <c r="AA7" i="38"/>
  <c r="Z9" i="38"/>
  <c r="AA9" i="38"/>
  <c r="Y9" i="38"/>
  <c r="Z24" i="38"/>
  <c r="AA24" i="38"/>
  <c r="Y24" i="38"/>
  <c r="Z19" i="38"/>
  <c r="Y19" i="38"/>
  <c r="AA19" i="38"/>
  <c r="Z29" i="38"/>
  <c r="Y29" i="38"/>
  <c r="AA29" i="38"/>
  <c r="Z35" i="38"/>
  <c r="Y35" i="38"/>
  <c r="AA35" i="38"/>
  <c r="Z6" i="38"/>
  <c r="AA6" i="38"/>
  <c r="Y6" i="38"/>
  <c r="Z12" i="38"/>
  <c r="AA12" i="38"/>
  <c r="Y12" i="38"/>
  <c r="Z37" i="38"/>
  <c r="Y37" i="38"/>
  <c r="AA37" i="38"/>
  <c r="K30" i="45" l="1"/>
  <c r="I31" i="45"/>
  <c r="B26" i="45"/>
  <c r="J25" i="45"/>
  <c r="P23" i="45"/>
  <c r="Q23" i="45"/>
  <c r="R23" i="45" s="1"/>
  <c r="L24" i="45"/>
  <c r="M24" i="45"/>
  <c r="N24" i="45" s="1"/>
  <c r="Z60" i="38"/>
  <c r="AA60" i="38"/>
  <c r="AA61" i="38" s="1"/>
  <c r="Y60" i="38"/>
  <c r="Y61" i="38" s="1"/>
  <c r="I32" i="45" l="1"/>
  <c r="K31" i="45"/>
  <c r="P24" i="45"/>
  <c r="Q24" i="45"/>
  <c r="R24" i="45" s="1"/>
  <c r="L25" i="45"/>
  <c r="M25" i="45"/>
  <c r="N25" i="45" s="1"/>
  <c r="B27" i="45"/>
  <c r="B28" i="45" s="1"/>
  <c r="J26" i="45"/>
  <c r="Z61" i="38"/>
  <c r="AB61" i="38"/>
  <c r="B29" i="45" l="1"/>
  <c r="J28" i="45"/>
  <c r="K32" i="45"/>
  <c r="I33" i="45"/>
  <c r="M26" i="45"/>
  <c r="N26" i="45" s="1"/>
  <c r="L26" i="45"/>
  <c r="P25" i="45"/>
  <c r="Q25" i="45"/>
  <c r="R25" i="45" s="1"/>
  <c r="J27" i="45"/>
  <c r="I2" i="39"/>
  <c r="I3" i="39" s="1"/>
  <c r="I15" i="39" s="1"/>
  <c r="I16" i="39" s="1"/>
  <c r="I2" i="75"/>
  <c r="I3" i="75" s="1"/>
  <c r="I15" i="75" s="1"/>
  <c r="I16" i="75" s="1"/>
  <c r="I2" i="74"/>
  <c r="I3" i="74" s="1"/>
  <c r="I15" i="74" s="1"/>
  <c r="I16" i="74" s="1"/>
  <c r="I2" i="72"/>
  <c r="I3" i="72" s="1"/>
  <c r="I15" i="72" s="1"/>
  <c r="I16" i="72" s="1"/>
  <c r="L28" i="45" l="1"/>
  <c r="M28" i="45"/>
  <c r="N28" i="45" s="1"/>
  <c r="K33" i="45"/>
  <c r="I34" i="45"/>
  <c r="B30" i="45"/>
  <c r="J29" i="45"/>
  <c r="P26" i="45"/>
  <c r="Q26" i="45"/>
  <c r="R26" i="45" s="1"/>
  <c r="M27" i="45"/>
  <c r="N27" i="45" s="1"/>
  <c r="L27" i="45"/>
  <c r="L29" i="45" l="1"/>
  <c r="M29" i="45"/>
  <c r="N29" i="45" s="1"/>
  <c r="I35" i="45"/>
  <c r="K34" i="45"/>
  <c r="B31" i="45"/>
  <c r="J30" i="45"/>
  <c r="P28" i="45"/>
  <c r="Q28" i="45"/>
  <c r="R28" i="45" s="1"/>
  <c r="P27" i="45"/>
  <c r="Q27" i="45"/>
  <c r="R27" i="45" s="1"/>
  <c r="K35" i="45" l="1"/>
  <c r="I36" i="45"/>
  <c r="P29" i="45"/>
  <c r="Q29" i="45"/>
  <c r="R29" i="45" s="1"/>
  <c r="L30" i="45"/>
  <c r="M30" i="45"/>
  <c r="N30" i="45" s="1"/>
  <c r="B32" i="45"/>
  <c r="J31" i="45"/>
  <c r="B33" i="45" l="1"/>
  <c r="J32" i="45"/>
  <c r="M31" i="45"/>
  <c r="N31" i="45" s="1"/>
  <c r="L31" i="45"/>
  <c r="P30" i="45"/>
  <c r="Q30" i="45"/>
  <c r="R30" i="45" s="1"/>
  <c r="K36" i="45"/>
  <c r="I37" i="45"/>
  <c r="K37" i="45" s="1"/>
  <c r="P31" i="45" l="1"/>
  <c r="Q31" i="45"/>
  <c r="R31" i="45" s="1"/>
  <c r="L32" i="45"/>
  <c r="M32" i="45"/>
  <c r="N32" i="45" s="1"/>
  <c r="B34" i="45"/>
  <c r="J33" i="45"/>
  <c r="L33" i="45" l="1"/>
  <c r="M33" i="45"/>
  <c r="N33" i="45" s="1"/>
  <c r="B35" i="45"/>
  <c r="J34" i="45"/>
  <c r="Q32" i="45"/>
  <c r="R32" i="45" s="1"/>
  <c r="P32" i="45"/>
  <c r="B36" i="45" l="1"/>
  <c r="J35" i="45"/>
  <c r="L34" i="45"/>
  <c r="M34" i="45"/>
  <c r="N34" i="45" s="1"/>
  <c r="P33" i="45"/>
  <c r="Q33" i="45"/>
  <c r="R33" i="45" s="1"/>
  <c r="I38" i="45"/>
  <c r="P34" i="45" l="1"/>
  <c r="Q34" i="45"/>
  <c r="R34" i="45" s="1"/>
  <c r="L35" i="45"/>
  <c r="M35" i="45"/>
  <c r="N35" i="45" s="1"/>
  <c r="B37" i="45"/>
  <c r="J37" i="45" s="1"/>
  <c r="J36" i="45"/>
  <c r="I39" i="45"/>
  <c r="K38" i="45"/>
  <c r="L37" i="45" l="1"/>
  <c r="M37" i="45"/>
  <c r="N37" i="45" s="1"/>
  <c r="Q35" i="45"/>
  <c r="R35" i="45" s="1"/>
  <c r="P35" i="45"/>
  <c r="L36" i="45"/>
  <c r="M36" i="45"/>
  <c r="N36" i="45" s="1"/>
  <c r="K39" i="45"/>
  <c r="I40" i="45"/>
  <c r="P36" i="45" l="1"/>
  <c r="Q36" i="45"/>
  <c r="R36" i="45" s="1"/>
  <c r="P37" i="45"/>
  <c r="Q37" i="45"/>
  <c r="R37" i="45" s="1"/>
  <c r="K40" i="45"/>
  <c r="I41" i="45"/>
  <c r="B38" i="45"/>
  <c r="J38" i="45" s="1"/>
  <c r="L38" i="45" l="1"/>
  <c r="M38" i="45"/>
  <c r="N38" i="45" s="1"/>
  <c r="I42" i="45"/>
  <c r="K41" i="45"/>
  <c r="B39" i="45"/>
  <c r="J39" i="45" s="1"/>
  <c r="L39" i="45" l="1"/>
  <c r="M39" i="45"/>
  <c r="N39" i="45" s="1"/>
  <c r="Q38" i="45"/>
  <c r="R38" i="45" s="1"/>
  <c r="P38" i="45"/>
  <c r="K42" i="45"/>
  <c r="I43" i="45"/>
  <c r="B40" i="45"/>
  <c r="J40" i="45" s="1"/>
  <c r="L40" i="45" l="1"/>
  <c r="M40" i="45"/>
  <c r="N40" i="45" s="1"/>
  <c r="Q39" i="45"/>
  <c r="R39" i="45" s="1"/>
  <c r="P39" i="45"/>
  <c r="I44" i="45"/>
  <c r="K43" i="45"/>
  <c r="B41" i="45"/>
  <c r="J41" i="45" s="1"/>
  <c r="M41" i="45" l="1"/>
  <c r="N41" i="45" s="1"/>
  <c r="L41" i="45"/>
  <c r="P40" i="45"/>
  <c r="Q40" i="45"/>
  <c r="R40" i="45" s="1"/>
  <c r="I45" i="45"/>
  <c r="K44" i="45"/>
  <c r="B42" i="45"/>
  <c r="J42" i="45" s="1"/>
  <c r="L42" i="45" l="1"/>
  <c r="M42" i="45"/>
  <c r="N42" i="45" s="1"/>
  <c r="P41" i="45"/>
  <c r="Q41" i="45"/>
  <c r="R41" i="45" s="1"/>
  <c r="K45" i="45"/>
  <c r="I46" i="45"/>
  <c r="B43" i="45"/>
  <c r="J43" i="45" s="1"/>
  <c r="M43" i="45" l="1"/>
  <c r="N43" i="45" s="1"/>
  <c r="L43" i="45"/>
  <c r="P42" i="45"/>
  <c r="Q42" i="45"/>
  <c r="R42" i="45" s="1"/>
  <c r="I47" i="45"/>
  <c r="K46" i="45"/>
  <c r="B44" i="45"/>
  <c r="J44" i="45" s="1"/>
  <c r="L44" i="45" l="1"/>
  <c r="M44" i="45"/>
  <c r="N44" i="45" s="1"/>
  <c r="Q43" i="45"/>
  <c r="R43" i="45" s="1"/>
  <c r="P43" i="45"/>
  <c r="K47" i="45"/>
  <c r="I48" i="45"/>
  <c r="I49" i="45" s="1"/>
  <c r="B45" i="45"/>
  <c r="J45" i="45" s="1"/>
  <c r="I50" i="45" l="1"/>
  <c r="K49" i="45"/>
  <c r="P44" i="45"/>
  <c r="Q44" i="45"/>
  <c r="R44" i="45" s="1"/>
  <c r="M45" i="45"/>
  <c r="N45" i="45" s="1"/>
  <c r="L45" i="45"/>
  <c r="K48" i="45"/>
  <c r="B46" i="45"/>
  <c r="J46" i="45" s="1"/>
  <c r="K50" i="45" l="1"/>
  <c r="I51" i="45"/>
  <c r="M46" i="45"/>
  <c r="N46" i="45" s="1"/>
  <c r="L46" i="45"/>
  <c r="P45" i="45"/>
  <c r="Q45" i="45"/>
  <c r="R45" i="45" s="1"/>
  <c r="B47" i="45"/>
  <c r="J47" i="45" s="1"/>
  <c r="K51" i="45" l="1"/>
  <c r="I52" i="45"/>
  <c r="L47" i="45"/>
  <c r="M47" i="45"/>
  <c r="N47" i="45" s="1"/>
  <c r="P46" i="45"/>
  <c r="Q46" i="45"/>
  <c r="R46" i="45" s="1"/>
  <c r="B48" i="45"/>
  <c r="J48" i="45" s="1"/>
  <c r="K52" i="45" l="1"/>
  <c r="I53" i="45"/>
  <c r="M48" i="45"/>
  <c r="N48" i="45" s="1"/>
  <c r="L48" i="45"/>
  <c r="Q47" i="45"/>
  <c r="R47" i="45" s="1"/>
  <c r="P47" i="45"/>
  <c r="B49" i="45"/>
  <c r="J49" i="45" s="1"/>
  <c r="L49" i="45" l="1"/>
  <c r="M49" i="45"/>
  <c r="N49" i="45" s="1"/>
  <c r="K53" i="45"/>
  <c r="I54" i="45"/>
  <c r="P48" i="45"/>
  <c r="Q48" i="45"/>
  <c r="R48" i="45" s="1"/>
  <c r="B50" i="45"/>
  <c r="J50" i="45" s="1"/>
  <c r="I55" i="45" l="1"/>
  <c r="K54" i="45"/>
  <c r="P49" i="45"/>
  <c r="Q49" i="45"/>
  <c r="R49" i="45" s="1"/>
  <c r="L50" i="45"/>
  <c r="M50" i="45"/>
  <c r="N50" i="45" s="1"/>
  <c r="B51" i="45"/>
  <c r="J51" i="45" s="1"/>
  <c r="L51" i="45" l="1"/>
  <c r="M51" i="45"/>
  <c r="N51" i="45" s="1"/>
  <c r="K55" i="45"/>
  <c r="I56" i="45"/>
  <c r="Q50" i="45"/>
  <c r="R50" i="45" s="1"/>
  <c r="P50" i="45"/>
  <c r="B52" i="45"/>
  <c r="J52" i="45" s="1"/>
  <c r="K56" i="45" l="1"/>
  <c r="I57" i="45"/>
  <c r="P51" i="45"/>
  <c r="Q51" i="45"/>
  <c r="R51" i="45" s="1"/>
  <c r="L52" i="45"/>
  <c r="M52" i="45"/>
  <c r="N52" i="45" s="1"/>
  <c r="B53" i="45"/>
  <c r="J53" i="45" s="1"/>
  <c r="L53" i="45" l="1"/>
  <c r="M53" i="45"/>
  <c r="N53" i="45" s="1"/>
  <c r="P52" i="45"/>
  <c r="Q52" i="45"/>
  <c r="R52" i="45" s="1"/>
  <c r="I58" i="45"/>
  <c r="K57" i="45"/>
  <c r="B54" i="45"/>
  <c r="J54" i="45" s="1"/>
  <c r="K58" i="45" l="1"/>
  <c r="I59" i="45"/>
  <c r="P53" i="45"/>
  <c r="Q53" i="45"/>
  <c r="R53" i="45" s="1"/>
  <c r="M54" i="45"/>
  <c r="N54" i="45" s="1"/>
  <c r="L54" i="45"/>
  <c r="B55" i="45"/>
  <c r="J55" i="45" s="1"/>
  <c r="P54" i="45" l="1"/>
  <c r="Q54" i="45"/>
  <c r="R54" i="45" s="1"/>
  <c r="L55" i="45"/>
  <c r="M55" i="45"/>
  <c r="N55" i="45" s="1"/>
  <c r="K59" i="45"/>
  <c r="I60" i="45"/>
  <c r="B56" i="45"/>
  <c r="J56" i="45" s="1"/>
  <c r="Q55" i="45" l="1"/>
  <c r="R55" i="45" s="1"/>
  <c r="P55" i="45"/>
  <c r="I61" i="45"/>
  <c r="K60" i="45"/>
  <c r="L56" i="45"/>
  <c r="M56" i="45"/>
  <c r="N56" i="45" s="1"/>
  <c r="B57" i="45"/>
  <c r="J57" i="45" s="1"/>
  <c r="K61" i="45" l="1"/>
  <c r="I62" i="45"/>
  <c r="P56" i="45"/>
  <c r="Q56" i="45"/>
  <c r="R56" i="45" s="1"/>
  <c r="M57" i="45"/>
  <c r="N57" i="45" s="1"/>
  <c r="L57" i="45"/>
  <c r="B58" i="45"/>
  <c r="J58" i="45" s="1"/>
  <c r="P57" i="45" l="1"/>
  <c r="Q57" i="45"/>
  <c r="R57" i="45" s="1"/>
  <c r="I63" i="45"/>
  <c r="K62" i="45"/>
  <c r="L58" i="45"/>
  <c r="M58" i="45"/>
  <c r="N58" i="45" s="1"/>
  <c r="B59" i="45"/>
  <c r="J59" i="45" s="1"/>
  <c r="L59" i="45" l="1"/>
  <c r="M59" i="45"/>
  <c r="N59" i="45" s="1"/>
  <c r="K63" i="45"/>
  <c r="I64" i="45"/>
  <c r="Q58" i="45"/>
  <c r="R58" i="45" s="1"/>
  <c r="P58" i="45"/>
  <c r="B60" i="45"/>
  <c r="J60" i="45" s="1"/>
  <c r="P59" i="45" l="1"/>
  <c r="Q59" i="45"/>
  <c r="R59" i="45" s="1"/>
  <c r="L60" i="45"/>
  <c r="M60" i="45"/>
  <c r="N60" i="45" s="1"/>
  <c r="K64" i="45"/>
  <c r="I65" i="45"/>
  <c r="B61" i="45"/>
  <c r="J61" i="45" s="1"/>
  <c r="L61" i="45" l="1"/>
  <c r="M61" i="45"/>
  <c r="N61" i="45" s="1"/>
  <c r="I66" i="45"/>
  <c r="K65" i="45"/>
  <c r="P60" i="45"/>
  <c r="Q60" i="45"/>
  <c r="R60" i="45" s="1"/>
  <c r="B62" i="45"/>
  <c r="J62" i="45" s="1"/>
  <c r="K66" i="45" l="1"/>
  <c r="I67" i="45"/>
  <c r="P61" i="45"/>
  <c r="Q61" i="45"/>
  <c r="R61" i="45" s="1"/>
  <c r="M62" i="45"/>
  <c r="N62" i="45" s="1"/>
  <c r="L62" i="45"/>
  <c r="B63" i="45"/>
  <c r="J63" i="45" s="1"/>
  <c r="P62" i="45" l="1"/>
  <c r="Q62" i="45"/>
  <c r="R62" i="45" s="1"/>
  <c r="K67" i="45"/>
  <c r="I68" i="45"/>
  <c r="L63" i="45"/>
  <c r="M63" i="45"/>
  <c r="N63" i="45" s="1"/>
  <c r="B64" i="45"/>
  <c r="J64" i="45" s="1"/>
  <c r="K68" i="45" l="1"/>
  <c r="I69" i="45"/>
  <c r="Q63" i="45"/>
  <c r="R63" i="45" s="1"/>
  <c r="P63" i="45"/>
  <c r="L64" i="45"/>
  <c r="M64" i="45"/>
  <c r="N64" i="45" s="1"/>
  <c r="B65" i="45"/>
  <c r="J65" i="45" s="1"/>
  <c r="P64" i="45" l="1"/>
  <c r="Q64" i="45"/>
  <c r="R64" i="45" s="1"/>
  <c r="K69" i="45"/>
  <c r="I70" i="45"/>
  <c r="M65" i="45"/>
  <c r="N65" i="45" s="1"/>
  <c r="L65" i="45"/>
  <c r="B66" i="45"/>
  <c r="J66" i="45" s="1"/>
  <c r="I71" i="45" l="1"/>
  <c r="K70" i="45"/>
  <c r="P65" i="45"/>
  <c r="Q65" i="45"/>
  <c r="R65" i="45" s="1"/>
  <c r="L66" i="45"/>
  <c r="M66" i="45"/>
  <c r="N66" i="45" s="1"/>
  <c r="B67" i="45"/>
  <c r="J67" i="45" s="1"/>
  <c r="K71" i="45" l="1"/>
  <c r="I72" i="45"/>
  <c r="Q66" i="45"/>
  <c r="R66" i="45" s="1"/>
  <c r="P66" i="45"/>
  <c r="L67" i="45"/>
  <c r="M67" i="45"/>
  <c r="N67" i="45" s="1"/>
  <c r="B68" i="45"/>
  <c r="J68" i="45" s="1"/>
  <c r="I73" i="45" l="1"/>
  <c r="K72" i="45"/>
  <c r="P67" i="45"/>
  <c r="Q67" i="45"/>
  <c r="R67" i="45" s="1"/>
  <c r="L68" i="45"/>
  <c r="M68" i="45"/>
  <c r="N68" i="45" s="1"/>
  <c r="B69" i="45"/>
  <c r="J69" i="45" s="1"/>
  <c r="I74" i="45" l="1"/>
  <c r="K73" i="45"/>
  <c r="L69" i="45"/>
  <c r="M69" i="45"/>
  <c r="N69" i="45" s="1"/>
  <c r="P68" i="45"/>
  <c r="Q68" i="45"/>
  <c r="R68" i="45" s="1"/>
  <c r="B70" i="45"/>
  <c r="J70" i="45" s="1"/>
  <c r="I75" i="45" l="1"/>
  <c r="K74" i="45"/>
  <c r="P69" i="45"/>
  <c r="Q69" i="45"/>
  <c r="R69" i="45" s="1"/>
  <c r="M70" i="45"/>
  <c r="N70" i="45" s="1"/>
  <c r="L70" i="45"/>
  <c r="B71" i="45"/>
  <c r="J71" i="45" l="1"/>
  <c r="B72" i="45"/>
  <c r="I76" i="45"/>
  <c r="K75" i="45"/>
  <c r="P70" i="45"/>
  <c r="Q70" i="45"/>
  <c r="R70" i="45" s="1"/>
  <c r="L71" i="45"/>
  <c r="M71" i="45"/>
  <c r="N71" i="45" s="1"/>
  <c r="I77" i="45" l="1"/>
  <c r="K76" i="45"/>
  <c r="B73" i="45"/>
  <c r="J72" i="45"/>
  <c r="Q71" i="45"/>
  <c r="R71" i="45" s="1"/>
  <c r="P71" i="45"/>
  <c r="L72" i="45" l="1"/>
  <c r="M72" i="45"/>
  <c r="N72" i="45" s="1"/>
  <c r="B74" i="45"/>
  <c r="J73" i="45"/>
  <c r="K77" i="45"/>
  <c r="I78" i="45"/>
  <c r="M73" i="45" l="1"/>
  <c r="N73" i="45" s="1"/>
  <c r="L73" i="45"/>
  <c r="B75" i="45"/>
  <c r="J74" i="45"/>
  <c r="K78" i="45"/>
  <c r="I79" i="45"/>
  <c r="P72" i="45"/>
  <c r="Q72" i="45"/>
  <c r="R72" i="45" s="1"/>
  <c r="K79" i="45" l="1"/>
  <c r="I80" i="45"/>
  <c r="M74" i="45"/>
  <c r="N74" i="45" s="1"/>
  <c r="L74" i="45"/>
  <c r="B76" i="45"/>
  <c r="J75" i="45"/>
  <c r="P73" i="45"/>
  <c r="Q73" i="45"/>
  <c r="R73" i="45" s="1"/>
  <c r="L75" i="45" l="1"/>
  <c r="M75" i="45"/>
  <c r="N75" i="45" s="1"/>
  <c r="B77" i="45"/>
  <c r="J76" i="45"/>
  <c r="P74" i="45"/>
  <c r="Q74" i="45"/>
  <c r="R74" i="45" s="1"/>
  <c r="I81" i="45"/>
  <c r="K80" i="45"/>
  <c r="L76" i="45" l="1"/>
  <c r="M76" i="45"/>
  <c r="N76" i="45" s="1"/>
  <c r="B78" i="45"/>
  <c r="J77" i="45"/>
  <c r="P75" i="45"/>
  <c r="Q75" i="45"/>
  <c r="R75" i="45" s="1"/>
  <c r="I82" i="45"/>
  <c r="K81" i="45"/>
  <c r="B101" i="70"/>
  <c r="B102" i="70" s="1"/>
  <c r="AB101" i="70"/>
  <c r="J3" i="70"/>
  <c r="I83" i="45" l="1"/>
  <c r="K82" i="45"/>
  <c r="L77" i="45"/>
  <c r="M77" i="45"/>
  <c r="N77" i="45" s="1"/>
  <c r="B79" i="45"/>
  <c r="J78" i="45"/>
  <c r="Q76" i="45"/>
  <c r="R76" i="45" s="1"/>
  <c r="P76" i="45"/>
  <c r="M3" i="70"/>
  <c r="N3" i="70" s="1"/>
  <c r="L3" i="70"/>
  <c r="B5" i="70"/>
  <c r="J102" i="70"/>
  <c r="M102" i="70" s="1"/>
  <c r="B103" i="70"/>
  <c r="B104" i="70" s="1"/>
  <c r="J104" i="70" s="1"/>
  <c r="J101" i="70"/>
  <c r="M101" i="70" s="1"/>
  <c r="B80" i="45" l="1"/>
  <c r="J79" i="45"/>
  <c r="L78" i="45"/>
  <c r="M78" i="45"/>
  <c r="N78" i="45" s="1"/>
  <c r="Q77" i="45"/>
  <c r="R77" i="45" s="1"/>
  <c r="P77" i="45"/>
  <c r="I84" i="45"/>
  <c r="K83" i="45"/>
  <c r="J103" i="70"/>
  <c r="L103" i="70" s="1"/>
  <c r="J5" i="70"/>
  <c r="B6" i="70"/>
  <c r="Q3" i="70"/>
  <c r="R3" i="70" s="1"/>
  <c r="P3" i="70"/>
  <c r="B105" i="70"/>
  <c r="B106" i="70" s="1"/>
  <c r="N102" i="70"/>
  <c r="P102" i="70" s="1"/>
  <c r="L102" i="70"/>
  <c r="N101" i="70"/>
  <c r="P101" i="70" s="1"/>
  <c r="L101" i="70"/>
  <c r="L104" i="70"/>
  <c r="M104" i="70"/>
  <c r="N104" i="70" s="1"/>
  <c r="I85" i="45" l="1"/>
  <c r="K84" i="45"/>
  <c r="L79" i="45"/>
  <c r="M79" i="45"/>
  <c r="N79" i="45" s="1"/>
  <c r="B81" i="45"/>
  <c r="J80" i="45"/>
  <c r="P78" i="45"/>
  <c r="Q78" i="45"/>
  <c r="R78" i="45" s="1"/>
  <c r="M103" i="70"/>
  <c r="N103" i="70" s="1"/>
  <c r="P103" i="70" s="1"/>
  <c r="B7" i="70"/>
  <c r="J6" i="70"/>
  <c r="L5" i="70"/>
  <c r="M5" i="70"/>
  <c r="N5" i="70" s="1"/>
  <c r="Q102" i="70"/>
  <c r="R102" i="70" s="1"/>
  <c r="J105" i="70"/>
  <c r="M105" i="70" s="1"/>
  <c r="N105" i="70" s="1"/>
  <c r="Q101" i="70"/>
  <c r="R101" i="70" s="1"/>
  <c r="P104" i="70"/>
  <c r="Q104" i="70"/>
  <c r="R104" i="70" s="1"/>
  <c r="Q103" i="70"/>
  <c r="R103" i="70" s="1"/>
  <c r="B107" i="70"/>
  <c r="J106" i="70"/>
  <c r="B82" i="45" l="1"/>
  <c r="J81" i="45"/>
  <c r="L80" i="45"/>
  <c r="M80" i="45"/>
  <c r="N80" i="45" s="1"/>
  <c r="K85" i="45"/>
  <c r="I86" i="45"/>
  <c r="P79" i="45"/>
  <c r="Q79" i="45"/>
  <c r="R79" i="45" s="1"/>
  <c r="P5" i="70"/>
  <c r="Q5" i="70"/>
  <c r="R5" i="70" s="1"/>
  <c r="L6" i="70"/>
  <c r="M6" i="70"/>
  <c r="N6" i="70" s="1"/>
  <c r="B8" i="70"/>
  <c r="J7" i="70"/>
  <c r="L105" i="70"/>
  <c r="P105" i="70"/>
  <c r="Q105" i="70"/>
  <c r="B108" i="70"/>
  <c r="J108" i="70" s="1"/>
  <c r="J107" i="70"/>
  <c r="L106" i="70"/>
  <c r="M106" i="70"/>
  <c r="N106" i="70" s="1"/>
  <c r="K86" i="45" l="1"/>
  <c r="I87" i="45"/>
  <c r="M81" i="45"/>
  <c r="N81" i="45" s="1"/>
  <c r="L81" i="45"/>
  <c r="B83" i="45"/>
  <c r="J82" i="45"/>
  <c r="P80" i="45"/>
  <c r="Q80" i="45"/>
  <c r="R80" i="45" s="1"/>
  <c r="R105" i="70"/>
  <c r="P6" i="70"/>
  <c r="Q6" i="70"/>
  <c r="R6" i="70" s="1"/>
  <c r="M7" i="70"/>
  <c r="N7" i="70" s="1"/>
  <c r="L7" i="70"/>
  <c r="B9" i="70"/>
  <c r="J8" i="70"/>
  <c r="P106" i="70"/>
  <c r="Q106" i="70"/>
  <c r="R106" i="70" s="1"/>
  <c r="L108" i="70"/>
  <c r="M108" i="70"/>
  <c r="N108" i="70" s="1"/>
  <c r="L107" i="70"/>
  <c r="M107" i="70"/>
  <c r="N107" i="70" s="1"/>
  <c r="B84" i="45" l="1"/>
  <c r="J83" i="45"/>
  <c r="L82" i="45"/>
  <c r="M82" i="45"/>
  <c r="N82" i="45" s="1"/>
  <c r="P81" i="45"/>
  <c r="Q81" i="45"/>
  <c r="R81" i="45" s="1"/>
  <c r="K87" i="45"/>
  <c r="I88" i="45"/>
  <c r="P7" i="70"/>
  <c r="Q7" i="70"/>
  <c r="R7" i="70" s="1"/>
  <c r="L8" i="70"/>
  <c r="M8" i="70"/>
  <c r="N8" i="70" s="1"/>
  <c r="B10" i="70"/>
  <c r="J9" i="70"/>
  <c r="Q107" i="70"/>
  <c r="R107" i="70" s="1"/>
  <c r="P107" i="70"/>
  <c r="P108" i="70"/>
  <c r="Q108" i="70"/>
  <c r="R108" i="70" s="1"/>
  <c r="P82" i="45" l="1"/>
  <c r="Q82" i="45"/>
  <c r="R82" i="45" s="1"/>
  <c r="K88" i="45"/>
  <c r="I89" i="45"/>
  <c r="L83" i="45"/>
  <c r="M83" i="45"/>
  <c r="N83" i="45" s="1"/>
  <c r="B85" i="45"/>
  <c r="J84" i="45"/>
  <c r="M9" i="70"/>
  <c r="N9" i="70" s="1"/>
  <c r="L9" i="70"/>
  <c r="P8" i="70"/>
  <c r="Q8" i="70"/>
  <c r="R8" i="70" s="1"/>
  <c r="B11" i="70"/>
  <c r="J10" i="70"/>
  <c r="I90" i="45" l="1"/>
  <c r="K89" i="45"/>
  <c r="P83" i="45"/>
  <c r="Q83" i="45"/>
  <c r="R83" i="45" s="1"/>
  <c r="L84" i="45"/>
  <c r="M84" i="45"/>
  <c r="N84" i="45" s="1"/>
  <c r="B86" i="45"/>
  <c r="J85" i="45"/>
  <c r="B12" i="70"/>
  <c r="J11" i="70"/>
  <c r="L10" i="70"/>
  <c r="M10" i="70"/>
  <c r="N10" i="70" s="1"/>
  <c r="P9" i="70"/>
  <c r="Q9" i="70"/>
  <c r="R9" i="70" s="1"/>
  <c r="Q84" i="45" l="1"/>
  <c r="R84" i="45" s="1"/>
  <c r="P84" i="45"/>
  <c r="L85" i="45"/>
  <c r="M85" i="45"/>
  <c r="N85" i="45" s="1"/>
  <c r="I91" i="45"/>
  <c r="K90" i="45"/>
  <c r="B87" i="45"/>
  <c r="J86" i="45"/>
  <c r="L11" i="70"/>
  <c r="M11" i="70"/>
  <c r="N11" i="70" s="1"/>
  <c r="Q10" i="70"/>
  <c r="R10" i="70" s="1"/>
  <c r="P10" i="70"/>
  <c r="B13" i="70"/>
  <c r="J12" i="70"/>
  <c r="Q85" i="45" l="1"/>
  <c r="R85" i="45" s="1"/>
  <c r="P85" i="45"/>
  <c r="I92" i="45"/>
  <c r="K91" i="45"/>
  <c r="L86" i="45"/>
  <c r="M86" i="45"/>
  <c r="N86" i="45" s="1"/>
  <c r="B88" i="45"/>
  <c r="J87" i="45"/>
  <c r="P11" i="70"/>
  <c r="Q11" i="70"/>
  <c r="R11" i="70" s="1"/>
  <c r="L12" i="70"/>
  <c r="M12" i="70"/>
  <c r="N12" i="70" s="1"/>
  <c r="B14" i="70"/>
  <c r="J13" i="70"/>
  <c r="P86" i="45" l="1"/>
  <c r="Q86" i="45"/>
  <c r="R86" i="45" s="1"/>
  <c r="I93" i="45"/>
  <c r="K92" i="45"/>
  <c r="L87" i="45"/>
  <c r="M87" i="45"/>
  <c r="N87" i="45" s="1"/>
  <c r="B89" i="45"/>
  <c r="J88" i="45"/>
  <c r="Q12" i="70"/>
  <c r="R12" i="70" s="1"/>
  <c r="P12" i="70"/>
  <c r="B15" i="70"/>
  <c r="J14" i="70"/>
  <c r="L13" i="70"/>
  <c r="M13" i="70"/>
  <c r="N13" i="70" s="1"/>
  <c r="P87" i="45" l="1"/>
  <c r="Q87" i="45"/>
  <c r="R87" i="45" s="1"/>
  <c r="K93" i="45"/>
  <c r="I94" i="45"/>
  <c r="L88" i="45"/>
  <c r="M88" i="45"/>
  <c r="N88" i="45" s="1"/>
  <c r="B90" i="45"/>
  <c r="J89" i="45"/>
  <c r="L14" i="70"/>
  <c r="M14" i="70"/>
  <c r="N14" i="70" s="1"/>
  <c r="B16" i="70"/>
  <c r="J15" i="70"/>
  <c r="P13" i="70"/>
  <c r="Q13" i="70"/>
  <c r="R13" i="70" s="1"/>
  <c r="M89" i="45" l="1"/>
  <c r="N89" i="45" s="1"/>
  <c r="L89" i="45"/>
  <c r="P88" i="45"/>
  <c r="Q88" i="45"/>
  <c r="R88" i="45" s="1"/>
  <c r="K94" i="45"/>
  <c r="B91" i="45"/>
  <c r="J90" i="45"/>
  <c r="B17" i="70"/>
  <c r="J16" i="70"/>
  <c r="P14" i="70"/>
  <c r="Q14" i="70"/>
  <c r="R14" i="70" s="1"/>
  <c r="M15" i="70"/>
  <c r="N15" i="70" s="1"/>
  <c r="L15" i="70"/>
  <c r="L90" i="45" l="1"/>
  <c r="M90" i="45"/>
  <c r="N90" i="45" s="1"/>
  <c r="P89" i="45"/>
  <c r="Q89" i="45"/>
  <c r="R89" i="45" s="1"/>
  <c r="B92" i="45"/>
  <c r="J91" i="45"/>
  <c r="B18" i="70"/>
  <c r="B19" i="70" s="1"/>
  <c r="J17" i="70"/>
  <c r="P15" i="70"/>
  <c r="Q15" i="70"/>
  <c r="R15" i="70" s="1"/>
  <c r="L16" i="70"/>
  <c r="M16" i="70"/>
  <c r="N16" i="70" s="1"/>
  <c r="P90" i="45" l="1"/>
  <c r="Q90" i="45"/>
  <c r="R90" i="45" s="1"/>
  <c r="L91" i="45"/>
  <c r="M91" i="45"/>
  <c r="N91" i="45" s="1"/>
  <c r="B93" i="45"/>
  <c r="J92" i="45"/>
  <c r="B20" i="70"/>
  <c r="J19" i="70"/>
  <c r="M17" i="70"/>
  <c r="N17" i="70" s="1"/>
  <c r="L17" i="70"/>
  <c r="P16" i="70"/>
  <c r="Q16" i="70"/>
  <c r="R16" i="70" s="1"/>
  <c r="J18" i="70"/>
  <c r="P91" i="45" l="1"/>
  <c r="Q91" i="45"/>
  <c r="R91" i="45" s="1"/>
  <c r="B94" i="45"/>
  <c r="J93" i="45"/>
  <c r="L92" i="45"/>
  <c r="M92" i="45"/>
  <c r="N92" i="45" s="1"/>
  <c r="L19" i="70"/>
  <c r="M19" i="70"/>
  <c r="N19" i="70" s="1"/>
  <c r="B21" i="70"/>
  <c r="J20" i="70"/>
  <c r="P17" i="70"/>
  <c r="Q17" i="70"/>
  <c r="R17" i="70" s="1"/>
  <c r="L18" i="70"/>
  <c r="M18" i="70"/>
  <c r="N18" i="70" s="1"/>
  <c r="Q92" i="45" l="1"/>
  <c r="R92" i="45" s="1"/>
  <c r="P92" i="45"/>
  <c r="L93" i="45"/>
  <c r="M93" i="45"/>
  <c r="N93" i="45" s="1"/>
  <c r="J94" i="45"/>
  <c r="L20" i="70"/>
  <c r="M20" i="70"/>
  <c r="N20" i="70" s="1"/>
  <c r="B22" i="70"/>
  <c r="J21" i="70"/>
  <c r="P19" i="70"/>
  <c r="Q19" i="70"/>
  <c r="R19" i="70" s="1"/>
  <c r="Q18" i="70"/>
  <c r="R18" i="70" s="1"/>
  <c r="P18" i="70"/>
  <c r="P93" i="45" l="1"/>
  <c r="Q93" i="45"/>
  <c r="R93" i="45" s="1"/>
  <c r="L94" i="45"/>
  <c r="M94" i="45"/>
  <c r="N94" i="45" s="1"/>
  <c r="P20" i="70"/>
  <c r="Q20" i="70"/>
  <c r="R20" i="70" s="1"/>
  <c r="M21" i="70"/>
  <c r="N21" i="70" s="1"/>
  <c r="L21" i="70"/>
  <c r="B23" i="70"/>
  <c r="J22" i="70"/>
  <c r="P94" i="45" l="1"/>
  <c r="Q94" i="45"/>
  <c r="R94" i="45" s="1"/>
  <c r="L22" i="70"/>
  <c r="M22" i="70"/>
  <c r="N22" i="70" s="1"/>
  <c r="B24" i="70"/>
  <c r="J23" i="70"/>
  <c r="P21" i="70"/>
  <c r="Q21" i="70"/>
  <c r="R21" i="70" s="1"/>
  <c r="L23" i="70" l="1"/>
  <c r="M23" i="70"/>
  <c r="N23" i="70" s="1"/>
  <c r="B25" i="70"/>
  <c r="J24" i="70"/>
  <c r="P22" i="70"/>
  <c r="Q22" i="70"/>
  <c r="R22" i="70" s="1"/>
  <c r="Q23" i="70" l="1"/>
  <c r="R23" i="70" s="1"/>
  <c r="P23" i="70"/>
  <c r="B26" i="70"/>
  <c r="J25" i="70"/>
  <c r="L24" i="70"/>
  <c r="M24" i="70"/>
  <c r="N24" i="70" s="1"/>
  <c r="S78" i="45" l="1"/>
  <c r="S86" i="45"/>
  <c r="T77" i="45"/>
  <c r="S83" i="45"/>
  <c r="T81" i="45"/>
  <c r="T80" i="45"/>
  <c r="T75" i="45"/>
  <c r="S93" i="45"/>
  <c r="S85" i="45"/>
  <c r="T90" i="45"/>
  <c r="S87" i="45"/>
  <c r="T76" i="45"/>
  <c r="T74" i="45"/>
  <c r="T79" i="45"/>
  <c r="S82" i="45"/>
  <c r="T86" i="45"/>
  <c r="T89" i="45"/>
  <c r="S76" i="45"/>
  <c r="U76" i="45" s="1"/>
  <c r="V76" i="45" s="1"/>
  <c r="W76" i="45" s="1"/>
  <c r="X76" i="45" s="1"/>
  <c r="T88" i="45"/>
  <c r="S81" i="45"/>
  <c r="U81" i="45" s="1"/>
  <c r="V81" i="45" s="1"/>
  <c r="W81" i="45" s="1"/>
  <c r="X81" i="45" s="1"/>
  <c r="T72" i="45"/>
  <c r="S90" i="45"/>
  <c r="U90" i="45" s="1"/>
  <c r="V90" i="45" s="1"/>
  <c r="W90" i="45" s="1"/>
  <c r="X90" i="45" s="1"/>
  <c r="S73" i="45"/>
  <c r="S89" i="45"/>
  <c r="U89" i="45" s="1"/>
  <c r="V89" i="45" s="1"/>
  <c r="W89" i="45" s="1"/>
  <c r="X89" i="45" s="1"/>
  <c r="S88" i="45"/>
  <c r="T82" i="45"/>
  <c r="S94" i="45"/>
  <c r="T93" i="45"/>
  <c r="S77" i="45"/>
  <c r="U77" i="45" s="1"/>
  <c r="V77" i="45" s="1"/>
  <c r="W77" i="45" s="1"/>
  <c r="X77" i="45" s="1"/>
  <c r="S92" i="45"/>
  <c r="S91" i="45"/>
  <c r="T85" i="45"/>
  <c r="T87" i="45"/>
  <c r="T84" i="45"/>
  <c r="T94" i="45"/>
  <c r="S80" i="45"/>
  <c r="U80" i="45" s="1"/>
  <c r="V80" i="45" s="1"/>
  <c r="W80" i="45" s="1"/>
  <c r="X80" i="45" s="1"/>
  <c r="S74" i="45"/>
  <c r="T73" i="45"/>
  <c r="T78" i="45"/>
  <c r="S75" i="45"/>
  <c r="S84" i="45"/>
  <c r="T91" i="45"/>
  <c r="T83" i="45"/>
  <c r="S72" i="45"/>
  <c r="U72" i="45" s="1"/>
  <c r="V72" i="45" s="1"/>
  <c r="W72" i="45" s="1"/>
  <c r="X72" i="45" s="1"/>
  <c r="T92" i="45"/>
  <c r="S79" i="45"/>
  <c r="U79" i="45" s="1"/>
  <c r="V79" i="45" s="1"/>
  <c r="W79" i="45" s="1"/>
  <c r="X79" i="45" s="1"/>
  <c r="S110" i="45"/>
  <c r="T108" i="45"/>
  <c r="T59" i="45"/>
  <c r="S3" i="45"/>
  <c r="S13" i="45"/>
  <c r="T41" i="45"/>
  <c r="S61" i="45"/>
  <c r="S26" i="45"/>
  <c r="S52" i="45"/>
  <c r="S30" i="45"/>
  <c r="S48" i="45"/>
  <c r="S23" i="45"/>
  <c r="S100" i="45"/>
  <c r="S21" i="45"/>
  <c r="T112" i="45"/>
  <c r="S104" i="45"/>
  <c r="T111" i="45"/>
  <c r="T65" i="45"/>
  <c r="S12" i="45"/>
  <c r="S17" i="45"/>
  <c r="S105" i="45"/>
  <c r="S49" i="45"/>
  <c r="S10" i="45"/>
  <c r="T39" i="45"/>
  <c r="T104" i="45"/>
  <c r="T71" i="45"/>
  <c r="S45" i="45"/>
  <c r="T120" i="45"/>
  <c r="T38" i="45"/>
  <c r="T18" i="45"/>
  <c r="T105" i="45"/>
  <c r="T113" i="45"/>
  <c r="S54" i="45"/>
  <c r="T24" i="45"/>
  <c r="S118" i="45"/>
  <c r="S5" i="45"/>
  <c r="S55" i="45"/>
  <c r="S58" i="45"/>
  <c r="S56" i="45"/>
  <c r="S64" i="45"/>
  <c r="S65" i="45"/>
  <c r="S103" i="45"/>
  <c r="S14" i="45"/>
  <c r="S37" i="45"/>
  <c r="S120" i="45"/>
  <c r="T32" i="45"/>
  <c r="T33" i="45"/>
  <c r="T47" i="45"/>
  <c r="S38" i="45"/>
  <c r="S109" i="45"/>
  <c r="T4" i="45"/>
  <c r="T58" i="45"/>
  <c r="T64" i="45"/>
  <c r="S111" i="45"/>
  <c r="S43" i="45"/>
  <c r="T110" i="45"/>
  <c r="S98" i="45"/>
  <c r="S15" i="45"/>
  <c r="T23" i="45"/>
  <c r="T40" i="45"/>
  <c r="T13" i="45"/>
  <c r="S28" i="45"/>
  <c r="S41" i="45"/>
  <c r="S42" i="45"/>
  <c r="S40" i="45"/>
  <c r="S107" i="45"/>
  <c r="T109" i="45"/>
  <c r="T118" i="45"/>
  <c r="T22" i="45"/>
  <c r="S70" i="45"/>
  <c r="T27" i="45"/>
  <c r="T35" i="45"/>
  <c r="T43" i="45"/>
  <c r="T50" i="45"/>
  <c r="T99" i="45"/>
  <c r="S34" i="45"/>
  <c r="T25" i="45"/>
  <c r="S8" i="45"/>
  <c r="T12" i="45"/>
  <c r="S57" i="45"/>
  <c r="S51" i="45"/>
  <c r="T19" i="45"/>
  <c r="T14" i="45"/>
  <c r="T7" i="45"/>
  <c r="S36" i="45"/>
  <c r="T31" i="45"/>
  <c r="S19" i="45"/>
  <c r="S69" i="45"/>
  <c r="T119" i="45"/>
  <c r="T46" i="45"/>
  <c r="T8" i="45"/>
  <c r="S39" i="45"/>
  <c r="U39" i="45" s="1"/>
  <c r="V39" i="45" s="1"/>
  <c r="W39" i="45" s="1"/>
  <c r="X39" i="45" s="1"/>
  <c r="S53" i="45"/>
  <c r="T20" i="45"/>
  <c r="S114" i="45"/>
  <c r="T16" i="45"/>
  <c r="T70" i="45"/>
  <c r="T28" i="45"/>
  <c r="T115" i="45"/>
  <c r="T106" i="45"/>
  <c r="T30" i="45"/>
  <c r="T61" i="45"/>
  <c r="T5" i="45"/>
  <c r="S16" i="45"/>
  <c r="U16" i="45" s="1"/>
  <c r="V16" i="45" s="1"/>
  <c r="W16" i="45" s="1"/>
  <c r="X16" i="45" s="1"/>
  <c r="S25" i="45"/>
  <c r="S106" i="45"/>
  <c r="T52" i="45"/>
  <c r="S32" i="45"/>
  <c r="T60" i="45"/>
  <c r="S115" i="45"/>
  <c r="S11" i="45"/>
  <c r="T63" i="45"/>
  <c r="T37" i="45"/>
  <c r="S101" i="45"/>
  <c r="S68" i="45"/>
  <c r="S116" i="45"/>
  <c r="S66" i="45"/>
  <c r="S35" i="45"/>
  <c r="U35" i="45" s="1"/>
  <c r="V35" i="45" s="1"/>
  <c r="W35" i="45" s="1"/>
  <c r="X35" i="45" s="1"/>
  <c r="S33" i="45"/>
  <c r="U33" i="45" s="1"/>
  <c r="V33" i="45" s="1"/>
  <c r="W33" i="45" s="1"/>
  <c r="X33" i="45" s="1"/>
  <c r="T11" i="45"/>
  <c r="S119" i="45"/>
  <c r="U119" i="45" s="1"/>
  <c r="V119" i="45" s="1"/>
  <c r="W119" i="45" s="1"/>
  <c r="X119" i="45" s="1"/>
  <c r="T36" i="45"/>
  <c r="S24" i="45"/>
  <c r="S7" i="45"/>
  <c r="U7" i="45" s="1"/>
  <c r="V7" i="45" s="1"/>
  <c r="W7" i="45" s="1"/>
  <c r="X7" i="45" s="1"/>
  <c r="T17" i="45"/>
  <c r="T103" i="45"/>
  <c r="T45" i="45"/>
  <c r="T9" i="45"/>
  <c r="T42" i="45"/>
  <c r="S113" i="45"/>
  <c r="T48" i="45"/>
  <c r="T54" i="45"/>
  <c r="S108" i="45"/>
  <c r="T26" i="45"/>
  <c r="T68" i="45"/>
  <c r="T55" i="45"/>
  <c r="S44" i="45"/>
  <c r="T57" i="45"/>
  <c r="T34" i="45"/>
  <c r="S102" i="45"/>
  <c r="S99" i="45"/>
  <c r="U99" i="45" s="1"/>
  <c r="V99" i="45" s="1"/>
  <c r="W99" i="45" s="1"/>
  <c r="X99" i="45" s="1"/>
  <c r="T102" i="45"/>
  <c r="T15" i="45"/>
  <c r="T62" i="45"/>
  <c r="S6" i="45"/>
  <c r="T21" i="45"/>
  <c r="S20" i="45"/>
  <c r="T49" i="45"/>
  <c r="S46" i="45"/>
  <c r="T44" i="45"/>
  <c r="S22" i="45"/>
  <c r="S63" i="45"/>
  <c r="U63" i="45" s="1"/>
  <c r="V63" i="45" s="1"/>
  <c r="W63" i="45" s="1"/>
  <c r="X63" i="45" s="1"/>
  <c r="T100" i="45"/>
  <c r="U100" i="45" s="1"/>
  <c r="V100" i="45" s="1"/>
  <c r="W100" i="45" s="1"/>
  <c r="X100" i="45" s="1"/>
  <c r="S27" i="45"/>
  <c r="U27" i="45" s="1"/>
  <c r="V27" i="45" s="1"/>
  <c r="W27" i="45" s="1"/>
  <c r="X27" i="45" s="1"/>
  <c r="T114" i="45"/>
  <c r="T6" i="45"/>
  <c r="S4" i="45"/>
  <c r="U4" i="45" s="1"/>
  <c r="V4" i="45" s="1"/>
  <c r="W4" i="45" s="1"/>
  <c r="X4" i="45" s="1"/>
  <c r="T53" i="45"/>
  <c r="T56" i="45"/>
  <c r="S60" i="45"/>
  <c r="T3" i="45"/>
  <c r="T117" i="45"/>
  <c r="S9" i="45"/>
  <c r="U9" i="45" s="1"/>
  <c r="V9" i="45" s="1"/>
  <c r="W9" i="45" s="1"/>
  <c r="X9" i="45" s="1"/>
  <c r="T51" i="45"/>
  <c r="T67" i="45"/>
  <c r="T10" i="45"/>
  <c r="S50" i="45"/>
  <c r="T98" i="45"/>
  <c r="S112" i="45"/>
  <c r="U112" i="45" s="1"/>
  <c r="V112" i="45" s="1"/>
  <c r="W112" i="45" s="1"/>
  <c r="X112" i="45" s="1"/>
  <c r="T107" i="45"/>
  <c r="S67" i="45"/>
  <c r="T66" i="45"/>
  <c r="S18" i="45"/>
  <c r="U18" i="45" s="1"/>
  <c r="V18" i="45" s="1"/>
  <c r="W18" i="45" s="1"/>
  <c r="X18" i="45" s="1"/>
  <c r="S117" i="45"/>
  <c r="S59" i="45"/>
  <c r="U59" i="45" s="1"/>
  <c r="V59" i="45" s="1"/>
  <c r="W59" i="45" s="1"/>
  <c r="X59" i="45" s="1"/>
  <c r="S71" i="45"/>
  <c r="S47" i="45"/>
  <c r="U47" i="45" s="1"/>
  <c r="V47" i="45" s="1"/>
  <c r="W47" i="45" s="1"/>
  <c r="X47" i="45" s="1"/>
  <c r="S29" i="45"/>
  <c r="T116" i="45"/>
  <c r="T29" i="45"/>
  <c r="T101" i="45"/>
  <c r="S62" i="45"/>
  <c r="U62" i="45" s="1"/>
  <c r="V62" i="45" s="1"/>
  <c r="W62" i="45" s="1"/>
  <c r="X62" i="45" s="1"/>
  <c r="S31" i="45"/>
  <c r="T69" i="45"/>
  <c r="J26" i="70"/>
  <c r="B27" i="70"/>
  <c r="Q24" i="70"/>
  <c r="R24" i="70" s="1"/>
  <c r="P24" i="70"/>
  <c r="L26" i="70"/>
  <c r="M26" i="70"/>
  <c r="N26" i="70" s="1"/>
  <c r="L25" i="70"/>
  <c r="M25" i="70"/>
  <c r="N25" i="70" s="1"/>
  <c r="U38" i="45" l="1"/>
  <c r="V38" i="45" s="1"/>
  <c r="W38" i="45" s="1"/>
  <c r="X38" i="45" s="1"/>
  <c r="U31" i="45"/>
  <c r="V31" i="45" s="1"/>
  <c r="W31" i="45" s="1"/>
  <c r="X31" i="45" s="1"/>
  <c r="U41" i="45"/>
  <c r="V41" i="45" s="1"/>
  <c r="W41" i="45" s="1"/>
  <c r="X41" i="45" s="1"/>
  <c r="U32" i="45"/>
  <c r="V32" i="45" s="1"/>
  <c r="W32" i="45" s="1"/>
  <c r="X32" i="45" s="1"/>
  <c r="U20" i="45"/>
  <c r="V20" i="45" s="1"/>
  <c r="W20" i="45" s="1"/>
  <c r="X20" i="45" s="1"/>
  <c r="U115" i="45"/>
  <c r="V115" i="45" s="1"/>
  <c r="W115" i="45" s="1"/>
  <c r="X115" i="45" s="1"/>
  <c r="U8" i="45"/>
  <c r="V8" i="45" s="1"/>
  <c r="W8" i="45" s="1"/>
  <c r="X8" i="45" s="1"/>
  <c r="AA8" i="45" s="1"/>
  <c r="U65" i="45"/>
  <c r="V65" i="45" s="1"/>
  <c r="W65" i="45" s="1"/>
  <c r="X65" i="45" s="1"/>
  <c r="Z65" i="45" s="1"/>
  <c r="U71" i="45"/>
  <c r="V71" i="45" s="1"/>
  <c r="W71" i="45" s="1"/>
  <c r="X71" i="45" s="1"/>
  <c r="U50" i="45"/>
  <c r="V50" i="45" s="1"/>
  <c r="W50" i="45" s="1"/>
  <c r="X50" i="45" s="1"/>
  <c r="U103" i="45"/>
  <c r="V103" i="45" s="1"/>
  <c r="W103" i="45" s="1"/>
  <c r="X103" i="45" s="1"/>
  <c r="U108" i="45"/>
  <c r="V108" i="45" s="1"/>
  <c r="W108" i="45" s="1"/>
  <c r="X108" i="45" s="1"/>
  <c r="U46" i="45"/>
  <c r="V46" i="45" s="1"/>
  <c r="W46" i="45" s="1"/>
  <c r="X46" i="45" s="1"/>
  <c r="U101" i="45"/>
  <c r="V101" i="45" s="1"/>
  <c r="W101" i="45" s="1"/>
  <c r="X101" i="45" s="1"/>
  <c r="U24" i="45"/>
  <c r="V24" i="45" s="1"/>
  <c r="W24" i="45" s="1"/>
  <c r="X24" i="45" s="1"/>
  <c r="Y24" i="45" s="1"/>
  <c r="U25" i="45"/>
  <c r="V25" i="45" s="1"/>
  <c r="W25" i="45" s="1"/>
  <c r="X25" i="45" s="1"/>
  <c r="Z25" i="45" s="1"/>
  <c r="U60" i="45"/>
  <c r="V60" i="45" s="1"/>
  <c r="W60" i="45" s="1"/>
  <c r="X60" i="45" s="1"/>
  <c r="U22" i="45"/>
  <c r="V22" i="45" s="1"/>
  <c r="W22" i="45" s="1"/>
  <c r="X22" i="45" s="1"/>
  <c r="U19" i="45"/>
  <c r="V19" i="45" s="1"/>
  <c r="W19" i="45" s="1"/>
  <c r="X19" i="45" s="1"/>
  <c r="AA19" i="45" s="1"/>
  <c r="U117" i="45"/>
  <c r="V117" i="45" s="1"/>
  <c r="W117" i="45" s="1"/>
  <c r="X117" i="45" s="1"/>
  <c r="U109" i="45"/>
  <c r="V109" i="45" s="1"/>
  <c r="W109" i="45" s="1"/>
  <c r="X109" i="45" s="1"/>
  <c r="Z109" i="45" s="1"/>
  <c r="U6" i="45"/>
  <c r="V6" i="45" s="1"/>
  <c r="W6" i="45" s="1"/>
  <c r="X6" i="45" s="1"/>
  <c r="AA6" i="45" s="1"/>
  <c r="U44" i="45"/>
  <c r="V44" i="45" s="1"/>
  <c r="W44" i="45" s="1"/>
  <c r="X44" i="45" s="1"/>
  <c r="Z44" i="45" s="1"/>
  <c r="U52" i="45"/>
  <c r="V52" i="45" s="1"/>
  <c r="W52" i="45" s="1"/>
  <c r="X52" i="45" s="1"/>
  <c r="Y52" i="45" s="1"/>
  <c r="U110" i="45"/>
  <c r="V110" i="45" s="1"/>
  <c r="W110" i="45" s="1"/>
  <c r="X110" i="45" s="1"/>
  <c r="U11" i="45"/>
  <c r="V11" i="45" s="1"/>
  <c r="W11" i="45" s="1"/>
  <c r="X11" i="45" s="1"/>
  <c r="U34" i="45"/>
  <c r="V34" i="45" s="1"/>
  <c r="W34" i="45" s="1"/>
  <c r="X34" i="45" s="1"/>
  <c r="Z34" i="45" s="1"/>
  <c r="U37" i="45"/>
  <c r="V37" i="45" s="1"/>
  <c r="W37" i="45" s="1"/>
  <c r="X37" i="45" s="1"/>
  <c r="AA37" i="45" s="1"/>
  <c r="U5" i="45"/>
  <c r="V5" i="45" s="1"/>
  <c r="W5" i="45" s="1"/>
  <c r="X5" i="45" s="1"/>
  <c r="Y5" i="45" s="1"/>
  <c r="U17" i="45"/>
  <c r="V17" i="45" s="1"/>
  <c r="W17" i="45" s="1"/>
  <c r="X17" i="45" s="1"/>
  <c r="Z17" i="45" s="1"/>
  <c r="U23" i="45"/>
  <c r="V23" i="45" s="1"/>
  <c r="W23" i="45" s="1"/>
  <c r="X23" i="45" s="1"/>
  <c r="AA23" i="45" s="1"/>
  <c r="U116" i="45"/>
  <c r="V116" i="45" s="1"/>
  <c r="W116" i="45" s="1"/>
  <c r="X116" i="45" s="1"/>
  <c r="U67" i="45"/>
  <c r="V67" i="45" s="1"/>
  <c r="W67" i="45" s="1"/>
  <c r="X67" i="45" s="1"/>
  <c r="Y9" i="45"/>
  <c r="AA9" i="45"/>
  <c r="Z9" i="45"/>
  <c r="Y20" i="45"/>
  <c r="AA20" i="45"/>
  <c r="Z20" i="45"/>
  <c r="U68" i="45"/>
  <c r="V68" i="45" s="1"/>
  <c r="W68" i="45" s="1"/>
  <c r="X68" i="45" s="1"/>
  <c r="U14" i="45"/>
  <c r="V14" i="45" s="1"/>
  <c r="W14" i="45" s="1"/>
  <c r="X14" i="45" s="1"/>
  <c r="U118" i="45"/>
  <c r="V118" i="45" s="1"/>
  <c r="W118" i="45" s="1"/>
  <c r="X118" i="45" s="1"/>
  <c r="U45" i="45"/>
  <c r="V45" i="45" s="1"/>
  <c r="W45" i="45" s="1"/>
  <c r="X45" i="45" s="1"/>
  <c r="U12" i="45"/>
  <c r="V12" i="45" s="1"/>
  <c r="W12" i="45" s="1"/>
  <c r="X12" i="45" s="1"/>
  <c r="U48" i="45"/>
  <c r="V48" i="45" s="1"/>
  <c r="W48" i="45" s="1"/>
  <c r="X48" i="45" s="1"/>
  <c r="U84" i="45"/>
  <c r="V84" i="45" s="1"/>
  <c r="W84" i="45" s="1"/>
  <c r="X84" i="45" s="1"/>
  <c r="U88" i="45"/>
  <c r="V88" i="45" s="1"/>
  <c r="W88" i="45" s="1"/>
  <c r="X88" i="45" s="1"/>
  <c r="AA39" i="45"/>
  <c r="Y39" i="45"/>
  <c r="Z39" i="45"/>
  <c r="U3" i="45"/>
  <c r="V3" i="45" s="1"/>
  <c r="W3" i="45" s="1"/>
  <c r="X3" i="45" s="1"/>
  <c r="U29" i="45"/>
  <c r="V29" i="45" s="1"/>
  <c r="W29" i="45" s="1"/>
  <c r="X29" i="45" s="1"/>
  <c r="AA27" i="45"/>
  <c r="Y27" i="45"/>
  <c r="Z27" i="45"/>
  <c r="U106" i="45"/>
  <c r="V106" i="45" s="1"/>
  <c r="W106" i="45" s="1"/>
  <c r="X106" i="45" s="1"/>
  <c r="U107" i="45"/>
  <c r="V107" i="45" s="1"/>
  <c r="W107" i="45" s="1"/>
  <c r="X107" i="45" s="1"/>
  <c r="U15" i="45"/>
  <c r="V15" i="45" s="1"/>
  <c r="W15" i="45" s="1"/>
  <c r="X15" i="45" s="1"/>
  <c r="Y109" i="45"/>
  <c r="U30" i="45"/>
  <c r="V30" i="45" s="1"/>
  <c r="W30" i="45" s="1"/>
  <c r="X30" i="45" s="1"/>
  <c r="U75" i="45"/>
  <c r="V75" i="45" s="1"/>
  <c r="W75" i="45" s="1"/>
  <c r="X75" i="45" s="1"/>
  <c r="Y76" i="45"/>
  <c r="Z76" i="45"/>
  <c r="AA76" i="45"/>
  <c r="U51" i="45"/>
  <c r="V51" i="45" s="1"/>
  <c r="W51" i="45" s="1"/>
  <c r="X51" i="45" s="1"/>
  <c r="Y38" i="45"/>
  <c r="Z38" i="45"/>
  <c r="AA38" i="45"/>
  <c r="U54" i="45"/>
  <c r="V54" i="45" s="1"/>
  <c r="W54" i="45" s="1"/>
  <c r="X54" i="45" s="1"/>
  <c r="Y110" i="45"/>
  <c r="AA110" i="45"/>
  <c r="Z110" i="45"/>
  <c r="U91" i="45"/>
  <c r="V91" i="45" s="1"/>
  <c r="W91" i="45" s="1"/>
  <c r="X91" i="45" s="1"/>
  <c r="Y89" i="45"/>
  <c r="Z89" i="45"/>
  <c r="AA89" i="45"/>
  <c r="U83" i="45"/>
  <c r="V83" i="45" s="1"/>
  <c r="W83" i="45" s="1"/>
  <c r="X83" i="45" s="1"/>
  <c r="AA7" i="45"/>
  <c r="Y7" i="45"/>
  <c r="Z7" i="45"/>
  <c r="Z112" i="45"/>
  <c r="AA112" i="45"/>
  <c r="Y112" i="45"/>
  <c r="AA119" i="45"/>
  <c r="Z119" i="45"/>
  <c r="Y119" i="45"/>
  <c r="U40" i="45"/>
  <c r="V40" i="45" s="1"/>
  <c r="W40" i="45" s="1"/>
  <c r="X40" i="45" s="1"/>
  <c r="Y71" i="45"/>
  <c r="Z71" i="45"/>
  <c r="AA71" i="45"/>
  <c r="U98" i="45"/>
  <c r="V98" i="45" s="1"/>
  <c r="W98" i="45" s="1"/>
  <c r="X98" i="45" s="1"/>
  <c r="Y60" i="45"/>
  <c r="Z60" i="45"/>
  <c r="AA60" i="45"/>
  <c r="Y63" i="45"/>
  <c r="AA63" i="45"/>
  <c r="Z63" i="45"/>
  <c r="Y16" i="45"/>
  <c r="Z16" i="45"/>
  <c r="AA16" i="45"/>
  <c r="U69" i="45"/>
  <c r="V69" i="45" s="1"/>
  <c r="W69" i="45" s="1"/>
  <c r="X69" i="45" s="1"/>
  <c r="U57" i="45"/>
  <c r="V57" i="45" s="1"/>
  <c r="W57" i="45" s="1"/>
  <c r="X57" i="45" s="1"/>
  <c r="U42" i="45"/>
  <c r="V42" i="45" s="1"/>
  <c r="W42" i="45" s="1"/>
  <c r="X42" i="45" s="1"/>
  <c r="U64" i="45"/>
  <c r="V64" i="45" s="1"/>
  <c r="W64" i="45" s="1"/>
  <c r="X64" i="45" s="1"/>
  <c r="U113" i="45"/>
  <c r="V113" i="45" s="1"/>
  <c r="W113" i="45" s="1"/>
  <c r="X113" i="45" s="1"/>
  <c r="U104" i="45"/>
  <c r="V104" i="45" s="1"/>
  <c r="W104" i="45" s="1"/>
  <c r="X104" i="45" s="1"/>
  <c r="U26" i="45"/>
  <c r="V26" i="45" s="1"/>
  <c r="W26" i="45" s="1"/>
  <c r="X26" i="45" s="1"/>
  <c r="Y79" i="45"/>
  <c r="Z79" i="45"/>
  <c r="AA79" i="45"/>
  <c r="U92" i="45"/>
  <c r="V92" i="45" s="1"/>
  <c r="W92" i="45" s="1"/>
  <c r="X92" i="45" s="1"/>
  <c r="U73" i="45"/>
  <c r="V73" i="45" s="1"/>
  <c r="W73" i="45" s="1"/>
  <c r="X73" i="45" s="1"/>
  <c r="U87" i="45"/>
  <c r="V87" i="45" s="1"/>
  <c r="W87" i="45" s="1"/>
  <c r="X87" i="45" s="1"/>
  <c r="AA100" i="45"/>
  <c r="Y100" i="45"/>
  <c r="Z100" i="45"/>
  <c r="Y59" i="45"/>
  <c r="Z59" i="45"/>
  <c r="AA59" i="45"/>
  <c r="Z50" i="45"/>
  <c r="Y50" i="45"/>
  <c r="AA50" i="45"/>
  <c r="AA22" i="45"/>
  <c r="Z22" i="45"/>
  <c r="Y22" i="45"/>
  <c r="Y33" i="45"/>
  <c r="AA33" i="45"/>
  <c r="Z33" i="45"/>
  <c r="AA11" i="45"/>
  <c r="Y11" i="45"/>
  <c r="Z11" i="45"/>
  <c r="U114" i="45"/>
  <c r="V114" i="45" s="1"/>
  <c r="W114" i="45" s="1"/>
  <c r="X114" i="45" s="1"/>
  <c r="Z19" i="45"/>
  <c r="Y19" i="45"/>
  <c r="Z41" i="45"/>
  <c r="AA41" i="45"/>
  <c r="Y41" i="45"/>
  <c r="U43" i="45"/>
  <c r="V43" i="45" s="1"/>
  <c r="W43" i="45" s="1"/>
  <c r="X43" i="45" s="1"/>
  <c r="U56" i="45"/>
  <c r="V56" i="45" s="1"/>
  <c r="W56" i="45" s="1"/>
  <c r="X56" i="45" s="1"/>
  <c r="U10" i="45"/>
  <c r="V10" i="45" s="1"/>
  <c r="W10" i="45" s="1"/>
  <c r="X10" i="45" s="1"/>
  <c r="U61" i="45"/>
  <c r="V61" i="45" s="1"/>
  <c r="W61" i="45" s="1"/>
  <c r="X61" i="45" s="1"/>
  <c r="U74" i="45"/>
  <c r="V74" i="45" s="1"/>
  <c r="W74" i="45" s="1"/>
  <c r="X74" i="45" s="1"/>
  <c r="Z77" i="45"/>
  <c r="Y77" i="45"/>
  <c r="AA77" i="45"/>
  <c r="Y90" i="45"/>
  <c r="Z90" i="45"/>
  <c r="AA90" i="45"/>
  <c r="AA32" i="45"/>
  <c r="Z32" i="45"/>
  <c r="Y32" i="45"/>
  <c r="Y47" i="45"/>
  <c r="Z47" i="45"/>
  <c r="AA47" i="45"/>
  <c r="Z31" i="45"/>
  <c r="Y31" i="45"/>
  <c r="AA31" i="45"/>
  <c r="Y62" i="45"/>
  <c r="AA62" i="45"/>
  <c r="Z62" i="45"/>
  <c r="AA117" i="45"/>
  <c r="Z117" i="45"/>
  <c r="Y117" i="45"/>
  <c r="U102" i="45"/>
  <c r="V102" i="45" s="1"/>
  <c r="W102" i="45" s="1"/>
  <c r="X102" i="45" s="1"/>
  <c r="Z103" i="45"/>
  <c r="AA103" i="45"/>
  <c r="Y103" i="45"/>
  <c r="Y35" i="45"/>
  <c r="AA35" i="45"/>
  <c r="Z35" i="45"/>
  <c r="Y115" i="45"/>
  <c r="Z115" i="45"/>
  <c r="AA115" i="45"/>
  <c r="Y8" i="45"/>
  <c r="U70" i="45"/>
  <c r="V70" i="45" s="1"/>
  <c r="W70" i="45" s="1"/>
  <c r="X70" i="45" s="1"/>
  <c r="U28" i="45"/>
  <c r="V28" i="45" s="1"/>
  <c r="W28" i="45" s="1"/>
  <c r="X28" i="45" s="1"/>
  <c r="U111" i="45"/>
  <c r="V111" i="45" s="1"/>
  <c r="W111" i="45" s="1"/>
  <c r="X111" i="45" s="1"/>
  <c r="U58" i="45"/>
  <c r="V58" i="45" s="1"/>
  <c r="W58" i="45" s="1"/>
  <c r="X58" i="45" s="1"/>
  <c r="U49" i="45"/>
  <c r="V49" i="45" s="1"/>
  <c r="W49" i="45" s="1"/>
  <c r="X49" i="45" s="1"/>
  <c r="U21" i="45"/>
  <c r="V21" i="45" s="1"/>
  <c r="W21" i="45" s="1"/>
  <c r="X21" i="45" s="1"/>
  <c r="Y72" i="45"/>
  <c r="Z72" i="45"/>
  <c r="AA72" i="45"/>
  <c r="Y80" i="45"/>
  <c r="Z80" i="45"/>
  <c r="AA80" i="45"/>
  <c r="U82" i="45"/>
  <c r="V82" i="45" s="1"/>
  <c r="W82" i="45" s="1"/>
  <c r="X82" i="45" s="1"/>
  <c r="U85" i="45"/>
  <c r="V85" i="45" s="1"/>
  <c r="W85" i="45" s="1"/>
  <c r="X85" i="45" s="1"/>
  <c r="U86" i="45"/>
  <c r="V86" i="45" s="1"/>
  <c r="W86" i="45" s="1"/>
  <c r="X86" i="45" s="1"/>
  <c r="AA101" i="45"/>
  <c r="Y101" i="45"/>
  <c r="Z101" i="45"/>
  <c r="AA18" i="45"/>
  <c r="Y18" i="45"/>
  <c r="Z18" i="45"/>
  <c r="Z4" i="45"/>
  <c r="AA4" i="45"/>
  <c r="Y4" i="45"/>
  <c r="Z46" i="45"/>
  <c r="Y46" i="45"/>
  <c r="AA46" i="45"/>
  <c r="AA99" i="45"/>
  <c r="Y99" i="45"/>
  <c r="Z99" i="45"/>
  <c r="Z108" i="45"/>
  <c r="AA108" i="45"/>
  <c r="Y108" i="45"/>
  <c r="U66" i="45"/>
  <c r="V66" i="45" s="1"/>
  <c r="W66" i="45" s="1"/>
  <c r="X66" i="45" s="1"/>
  <c r="U53" i="45"/>
  <c r="V53" i="45" s="1"/>
  <c r="W53" i="45" s="1"/>
  <c r="X53" i="45" s="1"/>
  <c r="U36" i="45"/>
  <c r="V36" i="45" s="1"/>
  <c r="W36" i="45" s="1"/>
  <c r="X36" i="45" s="1"/>
  <c r="U120" i="45"/>
  <c r="V120" i="45" s="1"/>
  <c r="W120" i="45" s="1"/>
  <c r="X120" i="45" s="1"/>
  <c r="U55" i="45"/>
  <c r="V55" i="45" s="1"/>
  <c r="W55" i="45" s="1"/>
  <c r="X55" i="45" s="1"/>
  <c r="U105" i="45"/>
  <c r="V105" i="45" s="1"/>
  <c r="W105" i="45" s="1"/>
  <c r="X105" i="45" s="1"/>
  <c r="U13" i="45"/>
  <c r="V13" i="45" s="1"/>
  <c r="W13" i="45" s="1"/>
  <c r="X13" i="45" s="1"/>
  <c r="U94" i="45"/>
  <c r="V94" i="45" s="1"/>
  <c r="W94" i="45" s="1"/>
  <c r="X94" i="45" s="1"/>
  <c r="Y81" i="45"/>
  <c r="Z81" i="45"/>
  <c r="AA81" i="45"/>
  <c r="U93" i="45"/>
  <c r="V93" i="45" s="1"/>
  <c r="W93" i="45" s="1"/>
  <c r="X93" i="45" s="1"/>
  <c r="U78" i="45"/>
  <c r="V78" i="45" s="1"/>
  <c r="W78" i="45" s="1"/>
  <c r="X78" i="45" s="1"/>
  <c r="B28" i="70"/>
  <c r="J27" i="70"/>
  <c r="P26" i="70"/>
  <c r="Q26" i="70"/>
  <c r="R26" i="70" s="1"/>
  <c r="Q25" i="70"/>
  <c r="R25" i="70" s="1"/>
  <c r="P25" i="70"/>
  <c r="Y65" i="45" l="1"/>
  <c r="Z6" i="45"/>
  <c r="AA65" i="45"/>
  <c r="AA25" i="45"/>
  <c r="Y25" i="45"/>
  <c r="Z8" i="45"/>
  <c r="Y6" i="45"/>
  <c r="AA52" i="45"/>
  <c r="AA109" i="45"/>
  <c r="Z5" i="45"/>
  <c r="Z52" i="45"/>
  <c r="AA5" i="45"/>
  <c r="AA17" i="45"/>
  <c r="Z24" i="45"/>
  <c r="Y44" i="45"/>
  <c r="Y17" i="45"/>
  <c r="AA24" i="45"/>
  <c r="AA44" i="45"/>
  <c r="Z23" i="45"/>
  <c r="Y23" i="45"/>
  <c r="Z37" i="45"/>
  <c r="Y37" i="45"/>
  <c r="AA34" i="45"/>
  <c r="Y34" i="45"/>
  <c r="Y53" i="45"/>
  <c r="AA53" i="45"/>
  <c r="Z53" i="45"/>
  <c r="AA3" i="45"/>
  <c r="Z3" i="45"/>
  <c r="Y3" i="45"/>
  <c r="AA118" i="45"/>
  <c r="Y118" i="45"/>
  <c r="Z118" i="45"/>
  <c r="Z66" i="45"/>
  <c r="Y66" i="45"/>
  <c r="AA66" i="45"/>
  <c r="AA28" i="45"/>
  <c r="Z28" i="45"/>
  <c r="Y28" i="45"/>
  <c r="AA15" i="45"/>
  <c r="Z15" i="45"/>
  <c r="Y15" i="45"/>
  <c r="AA14" i="45"/>
  <c r="Z14" i="45"/>
  <c r="Y14" i="45"/>
  <c r="AA36" i="45"/>
  <c r="Y36" i="45"/>
  <c r="Z36" i="45"/>
  <c r="Y57" i="45"/>
  <c r="Z57" i="45"/>
  <c r="AA57" i="45"/>
  <c r="Z111" i="45"/>
  <c r="AA111" i="45"/>
  <c r="Y111" i="45"/>
  <c r="Y94" i="45"/>
  <c r="Z94" i="45"/>
  <c r="AA94" i="45"/>
  <c r="Y70" i="45"/>
  <c r="AA70" i="45"/>
  <c r="Z70" i="45"/>
  <c r="AA26" i="45"/>
  <c r="Z26" i="45"/>
  <c r="Y26" i="45"/>
  <c r="Y98" i="45"/>
  <c r="AA98" i="45"/>
  <c r="Z98" i="45"/>
  <c r="Y51" i="45"/>
  <c r="Z51" i="45"/>
  <c r="AA51" i="45"/>
  <c r="Z107" i="45"/>
  <c r="AA107" i="45"/>
  <c r="Y107" i="45"/>
  <c r="Y68" i="45"/>
  <c r="Z68" i="45"/>
  <c r="AA68" i="45"/>
  <c r="Y29" i="45"/>
  <c r="Z29" i="45"/>
  <c r="AA29" i="45"/>
  <c r="Y83" i="45"/>
  <c r="Z83" i="45"/>
  <c r="AA83" i="45"/>
  <c r="AA13" i="45"/>
  <c r="Z13" i="45"/>
  <c r="Y13" i="45"/>
  <c r="Y74" i="45"/>
  <c r="Z74" i="45"/>
  <c r="AA74" i="45"/>
  <c r="Z104" i="45"/>
  <c r="AA104" i="45"/>
  <c r="Y104" i="45"/>
  <c r="Z54" i="45"/>
  <c r="AA54" i="45"/>
  <c r="Y54" i="45"/>
  <c r="AA106" i="45"/>
  <c r="Y106" i="45"/>
  <c r="Z106" i="45"/>
  <c r="Y88" i="45"/>
  <c r="Z88" i="45"/>
  <c r="AA88" i="45"/>
  <c r="Y102" i="45"/>
  <c r="Z102" i="45"/>
  <c r="AA102" i="45"/>
  <c r="Z69" i="45"/>
  <c r="Y69" i="45"/>
  <c r="AA69" i="45"/>
  <c r="AA105" i="45"/>
  <c r="Y105" i="45"/>
  <c r="Z105" i="45"/>
  <c r="Z86" i="45"/>
  <c r="Y86" i="45"/>
  <c r="AA86" i="45"/>
  <c r="Z61" i="45"/>
  <c r="Y61" i="45"/>
  <c r="AA61" i="45"/>
  <c r="Y87" i="45"/>
  <c r="Z87" i="45"/>
  <c r="AA87" i="45"/>
  <c r="Z113" i="45"/>
  <c r="Y113" i="45"/>
  <c r="AA113" i="45"/>
  <c r="Y91" i="45"/>
  <c r="Z91" i="45"/>
  <c r="AA91" i="45"/>
  <c r="Y75" i="45"/>
  <c r="Z75" i="45"/>
  <c r="AA75" i="45"/>
  <c r="Y84" i="45"/>
  <c r="Z84" i="45"/>
  <c r="AA84" i="45"/>
  <c r="Z67" i="45"/>
  <c r="AA67" i="45"/>
  <c r="Y67" i="45"/>
  <c r="AA43" i="45"/>
  <c r="Z43" i="45"/>
  <c r="Y43" i="45"/>
  <c r="Z78" i="45"/>
  <c r="Y78" i="45"/>
  <c r="AA78" i="45"/>
  <c r="Z55" i="45"/>
  <c r="Y55" i="45"/>
  <c r="AA55" i="45"/>
  <c r="Z85" i="45"/>
  <c r="Y85" i="45"/>
  <c r="AA85" i="45"/>
  <c r="Y21" i="45"/>
  <c r="AA21" i="45"/>
  <c r="Z21" i="45"/>
  <c r="Z10" i="45"/>
  <c r="Y10" i="45"/>
  <c r="AA10" i="45"/>
  <c r="Y73" i="45"/>
  <c r="Z73" i="45"/>
  <c r="AA73" i="45"/>
  <c r="Y64" i="45"/>
  <c r="Z64" i="45"/>
  <c r="AA64" i="45"/>
  <c r="AA30" i="45"/>
  <c r="Y30" i="45"/>
  <c r="Z30" i="45"/>
  <c r="Z48" i="45"/>
  <c r="AA48" i="45"/>
  <c r="Y48" i="45"/>
  <c r="Z116" i="45"/>
  <c r="AA116" i="45"/>
  <c r="Y116" i="45"/>
  <c r="Y58" i="45"/>
  <c r="Z58" i="45"/>
  <c r="AA58" i="45"/>
  <c r="Y45" i="45"/>
  <c r="Z45" i="45"/>
  <c r="AA45" i="45"/>
  <c r="Z93" i="45"/>
  <c r="Y93" i="45"/>
  <c r="AA93" i="45"/>
  <c r="Y120" i="45"/>
  <c r="Z120" i="45"/>
  <c r="AA120" i="45"/>
  <c r="Y82" i="45"/>
  <c r="Z82" i="45"/>
  <c r="AA82" i="45"/>
  <c r="AA49" i="45"/>
  <c r="Y49" i="45"/>
  <c r="Z49" i="45"/>
  <c r="Y56" i="45"/>
  <c r="Z56" i="45"/>
  <c r="AA56" i="45"/>
  <c r="AA114" i="45"/>
  <c r="Z114" i="45"/>
  <c r="Y114" i="45"/>
  <c r="Y92" i="45"/>
  <c r="Z92" i="45"/>
  <c r="AA92" i="45"/>
  <c r="Z42" i="45"/>
  <c r="AA42" i="45"/>
  <c r="Y42" i="45"/>
  <c r="Z40" i="45"/>
  <c r="AA40" i="45"/>
  <c r="Y40" i="45"/>
  <c r="Y12" i="45"/>
  <c r="AA12" i="45"/>
  <c r="Z12" i="45"/>
  <c r="M27" i="70"/>
  <c r="N27" i="70" s="1"/>
  <c r="L27" i="70"/>
  <c r="B29" i="70"/>
  <c r="J28" i="70"/>
  <c r="Y141" i="45" l="1"/>
  <c r="Y142" i="45" s="1"/>
  <c r="Z141" i="45"/>
  <c r="AA141" i="45"/>
  <c r="AA142" i="45" s="1"/>
  <c r="M28" i="70"/>
  <c r="N28" i="70" s="1"/>
  <c r="L28" i="70"/>
  <c r="B30" i="70"/>
  <c r="J29" i="70"/>
  <c r="P27" i="70"/>
  <c r="Q27" i="70"/>
  <c r="R27" i="70" s="1"/>
  <c r="AB142" i="45" l="1"/>
  <c r="Z142" i="45"/>
  <c r="L29" i="70"/>
  <c r="M29" i="70"/>
  <c r="N29" i="70" s="1"/>
  <c r="B31" i="70"/>
  <c r="J30" i="70"/>
  <c r="P28" i="70"/>
  <c r="Q28" i="70"/>
  <c r="R28" i="70" s="1"/>
  <c r="X2" i="39" l="1"/>
  <c r="X3" i="39" s="1"/>
  <c r="X15" i="39" s="1"/>
  <c r="X16" i="39" s="1"/>
  <c r="X2" i="74"/>
  <c r="X3" i="74" s="1"/>
  <c r="X15" i="74" s="1"/>
  <c r="X16" i="74" s="1"/>
  <c r="X2" i="72"/>
  <c r="X3" i="72" s="1"/>
  <c r="X15" i="72" s="1"/>
  <c r="X16" i="72" s="1"/>
  <c r="Y2" i="75"/>
  <c r="Y17" i="75" s="1"/>
  <c r="L30" i="70"/>
  <c r="M30" i="70"/>
  <c r="N30" i="70" s="1"/>
  <c r="B32" i="70"/>
  <c r="J31" i="70"/>
  <c r="P29" i="70"/>
  <c r="Q29" i="70"/>
  <c r="R29" i="70" s="1"/>
  <c r="B33" i="70" l="1"/>
  <c r="J32" i="70"/>
  <c r="L31" i="70"/>
  <c r="M31" i="70"/>
  <c r="N31" i="70" s="1"/>
  <c r="Q30" i="70"/>
  <c r="R30" i="70" s="1"/>
  <c r="P30" i="70"/>
  <c r="L32" i="70" l="1"/>
  <c r="M32" i="70"/>
  <c r="N32" i="70" s="1"/>
  <c r="B34" i="70"/>
  <c r="J33" i="70"/>
  <c r="P31" i="70"/>
  <c r="Q31" i="70"/>
  <c r="R31" i="70" s="1"/>
  <c r="L33" i="70" l="1"/>
  <c r="M33" i="70"/>
  <c r="N33" i="70" s="1"/>
  <c r="J34" i="70"/>
  <c r="Q32" i="70"/>
  <c r="R32" i="70" s="1"/>
  <c r="P32" i="70"/>
  <c r="L34" i="70" l="1"/>
  <c r="M34" i="70"/>
  <c r="N34" i="70" s="1"/>
  <c r="Q33" i="70"/>
  <c r="R33" i="70" s="1"/>
  <c r="P33" i="70"/>
  <c r="P34" i="70" l="1"/>
  <c r="Q34" i="70"/>
  <c r="R34" i="70" s="1"/>
  <c r="T108" i="70"/>
  <c r="S17" i="70"/>
  <c r="S101" i="70" l="1"/>
  <c r="T3" i="70"/>
  <c r="T107" i="70"/>
  <c r="T7" i="70"/>
  <c r="T34" i="70"/>
  <c r="S32" i="70"/>
  <c r="S33" i="70"/>
  <c r="T29" i="70"/>
  <c r="S31" i="70"/>
  <c r="S28" i="70"/>
  <c r="S27" i="70"/>
  <c r="S34" i="70"/>
  <c r="T31" i="70"/>
  <c r="S30" i="70"/>
  <c r="T30" i="70"/>
  <c r="T32" i="70"/>
  <c r="T28" i="70"/>
  <c r="S29" i="70"/>
  <c r="T27" i="70"/>
  <c r="T33" i="70"/>
  <c r="S15" i="70"/>
  <c r="T18" i="70"/>
  <c r="S11" i="70"/>
  <c r="S104" i="70"/>
  <c r="T19" i="70"/>
  <c r="T103" i="70"/>
  <c r="S10" i="70"/>
  <c r="T102" i="70"/>
  <c r="T105" i="70"/>
  <c r="T14" i="70"/>
  <c r="T101" i="70"/>
  <c r="S4" i="70"/>
  <c r="T104" i="70"/>
  <c r="T9" i="70"/>
  <c r="T26" i="70"/>
  <c r="S19" i="70"/>
  <c r="U19" i="70" s="1"/>
  <c r="V19" i="70" s="1"/>
  <c r="W19" i="70" s="1"/>
  <c r="X19" i="70" s="1"/>
  <c r="S3" i="70"/>
  <c r="U3" i="70" s="1"/>
  <c r="V3" i="70" s="1"/>
  <c r="W3" i="70" s="1"/>
  <c r="X3" i="70" s="1"/>
  <c r="S21" i="70"/>
  <c r="T22" i="70"/>
  <c r="S106" i="70"/>
  <c r="S22" i="70"/>
  <c r="S23" i="70"/>
  <c r="S13" i="70"/>
  <c r="T21" i="70"/>
  <c r="S25" i="70"/>
  <c r="S9" i="70"/>
  <c r="S107" i="70"/>
  <c r="U107" i="70" s="1"/>
  <c r="V107" i="70" s="1"/>
  <c r="W107" i="70" s="1"/>
  <c r="X107" i="70" s="1"/>
  <c r="T17" i="70"/>
  <c r="U17" i="70" s="1"/>
  <c r="V17" i="70" s="1"/>
  <c r="W17" i="70" s="1"/>
  <c r="X17" i="70" s="1"/>
  <c r="T16" i="70"/>
  <c r="S105" i="70"/>
  <c r="T15" i="70"/>
  <c r="T106" i="70"/>
  <c r="T6" i="70"/>
  <c r="S26" i="70"/>
  <c r="T24" i="70"/>
  <c r="T11" i="70"/>
  <c r="T20" i="70"/>
  <c r="S8" i="70"/>
  <c r="S7" i="70"/>
  <c r="U7" i="70" s="1"/>
  <c r="V7" i="70" s="1"/>
  <c r="W7" i="70" s="1"/>
  <c r="X7" i="70" s="1"/>
  <c r="S103" i="70"/>
  <c r="U103" i="70" s="1"/>
  <c r="V103" i="70" s="1"/>
  <c r="W103" i="70" s="1"/>
  <c r="X103" i="70" s="1"/>
  <c r="T25" i="70"/>
  <c r="T12" i="70"/>
  <c r="T23" i="70"/>
  <c r="S16" i="70"/>
  <c r="U16" i="70" s="1"/>
  <c r="V16" i="70" s="1"/>
  <c r="W16" i="70" s="1"/>
  <c r="X16" i="70" s="1"/>
  <c r="T13" i="70"/>
  <c r="T10" i="70"/>
  <c r="S12" i="70"/>
  <c r="T4" i="70"/>
  <c r="T5" i="70"/>
  <c r="S108" i="70"/>
  <c r="U108" i="70" s="1"/>
  <c r="V108" i="70" s="1"/>
  <c r="W108" i="70" s="1"/>
  <c r="X108" i="70" s="1"/>
  <c r="S18" i="70"/>
  <c r="S6" i="70"/>
  <c r="S20" i="70"/>
  <c r="U20" i="70" s="1"/>
  <c r="V20" i="70" s="1"/>
  <c r="W20" i="70" s="1"/>
  <c r="X20" i="70" s="1"/>
  <c r="T8" i="70"/>
  <c r="S5" i="70"/>
  <c r="S102" i="70"/>
  <c r="U102" i="70" s="1"/>
  <c r="V102" i="70" s="1"/>
  <c r="W102" i="70" s="1"/>
  <c r="X102" i="70" s="1"/>
  <c r="S14" i="70"/>
  <c r="S24" i="70"/>
  <c r="U24" i="70" s="1"/>
  <c r="V24" i="70" s="1"/>
  <c r="W24" i="70" s="1"/>
  <c r="X24" i="70" s="1"/>
  <c r="U22" i="70" l="1"/>
  <c r="V22" i="70" s="1"/>
  <c r="W22" i="70" s="1"/>
  <c r="X22" i="70" s="1"/>
  <c r="U15" i="70"/>
  <c r="V15" i="70" s="1"/>
  <c r="W15" i="70" s="1"/>
  <c r="X15" i="70" s="1"/>
  <c r="U33" i="70"/>
  <c r="V33" i="70" s="1"/>
  <c r="W33" i="70" s="1"/>
  <c r="X33" i="70" s="1"/>
  <c r="U32" i="70"/>
  <c r="V32" i="70" s="1"/>
  <c r="W32" i="70" s="1"/>
  <c r="X32" i="70" s="1"/>
  <c r="U12" i="70"/>
  <c r="V12" i="70" s="1"/>
  <c r="W12" i="70" s="1"/>
  <c r="X12" i="70" s="1"/>
  <c r="Z12" i="70" s="1"/>
  <c r="U29" i="70"/>
  <c r="V29" i="70" s="1"/>
  <c r="W29" i="70" s="1"/>
  <c r="X29" i="70" s="1"/>
  <c r="Y29" i="70" s="1"/>
  <c r="U14" i="70"/>
  <c r="V14" i="70" s="1"/>
  <c r="W14" i="70" s="1"/>
  <c r="X14" i="70" s="1"/>
  <c r="Z14" i="70" s="1"/>
  <c r="U18" i="70"/>
  <c r="V18" i="70" s="1"/>
  <c r="W18" i="70" s="1"/>
  <c r="X18" i="70" s="1"/>
  <c r="Y18" i="70" s="1"/>
  <c r="Z17" i="70"/>
  <c r="AA17" i="70"/>
  <c r="Y17" i="70"/>
  <c r="AA15" i="70"/>
  <c r="Y15" i="70"/>
  <c r="Z15" i="70"/>
  <c r="AA103" i="70"/>
  <c r="Y103" i="70"/>
  <c r="Z103" i="70"/>
  <c r="Y19" i="70"/>
  <c r="Z19" i="70"/>
  <c r="AA19" i="70"/>
  <c r="U30" i="70"/>
  <c r="V30" i="70" s="1"/>
  <c r="W30" i="70" s="1"/>
  <c r="X30" i="70" s="1"/>
  <c r="Z32" i="70"/>
  <c r="Y32" i="70"/>
  <c r="AA32" i="70"/>
  <c r="AA102" i="70"/>
  <c r="Z102" i="70"/>
  <c r="Y102" i="70"/>
  <c r="Z7" i="70"/>
  <c r="Y7" i="70"/>
  <c r="AA7" i="70"/>
  <c r="U13" i="70"/>
  <c r="V13" i="70" s="1"/>
  <c r="W13" i="70" s="1"/>
  <c r="X13" i="70" s="1"/>
  <c r="U10" i="70"/>
  <c r="V10" i="70" s="1"/>
  <c r="W10" i="70" s="1"/>
  <c r="X10" i="70" s="1"/>
  <c r="U25" i="70"/>
  <c r="V25" i="70" s="1"/>
  <c r="W25" i="70" s="1"/>
  <c r="X25" i="70" s="1"/>
  <c r="U8" i="70"/>
  <c r="V8" i="70" s="1"/>
  <c r="W8" i="70" s="1"/>
  <c r="X8" i="70" s="1"/>
  <c r="U105" i="70"/>
  <c r="V105" i="70" s="1"/>
  <c r="W105" i="70" s="1"/>
  <c r="X105" i="70" s="1"/>
  <c r="U23" i="70"/>
  <c r="V23" i="70" s="1"/>
  <c r="W23" i="70" s="1"/>
  <c r="X23" i="70" s="1"/>
  <c r="U34" i="70"/>
  <c r="V34" i="70" s="1"/>
  <c r="W34" i="70" s="1"/>
  <c r="X34" i="70" s="1"/>
  <c r="Z20" i="70"/>
  <c r="Y20" i="70"/>
  <c r="AA20" i="70"/>
  <c r="Y22" i="70"/>
  <c r="AA22" i="70"/>
  <c r="Z22" i="70"/>
  <c r="U27" i="70"/>
  <c r="V27" i="70" s="1"/>
  <c r="W27" i="70" s="1"/>
  <c r="X27" i="70" s="1"/>
  <c r="Y33" i="70"/>
  <c r="Z33" i="70"/>
  <c r="AA33" i="70"/>
  <c r="AA16" i="70"/>
  <c r="Y16" i="70"/>
  <c r="Z16" i="70"/>
  <c r="U106" i="70"/>
  <c r="V106" i="70" s="1"/>
  <c r="W106" i="70" s="1"/>
  <c r="X106" i="70" s="1"/>
  <c r="U4" i="70"/>
  <c r="V4" i="70" s="1"/>
  <c r="W4" i="70" s="1"/>
  <c r="X4" i="70" s="1"/>
  <c r="U104" i="70"/>
  <c r="V104" i="70" s="1"/>
  <c r="W104" i="70" s="1"/>
  <c r="X104" i="70" s="1"/>
  <c r="U28" i="70"/>
  <c r="V28" i="70" s="1"/>
  <c r="W28" i="70" s="1"/>
  <c r="X28" i="70" s="1"/>
  <c r="Y107" i="70"/>
  <c r="AA107" i="70"/>
  <c r="Z107" i="70"/>
  <c r="U11" i="70"/>
  <c r="V11" i="70" s="1"/>
  <c r="W11" i="70" s="1"/>
  <c r="X11" i="70" s="1"/>
  <c r="U31" i="70"/>
  <c r="V31" i="70" s="1"/>
  <c r="W31" i="70" s="1"/>
  <c r="X31" i="70" s="1"/>
  <c r="U101" i="70"/>
  <c r="V101" i="70" s="1"/>
  <c r="W101" i="70" s="1"/>
  <c r="X101" i="70" s="1"/>
  <c r="Z3" i="70"/>
  <c r="AA3" i="70"/>
  <c r="Y3" i="70"/>
  <c r="U5" i="70"/>
  <c r="V5" i="70" s="1"/>
  <c r="W5" i="70" s="1"/>
  <c r="X5" i="70" s="1"/>
  <c r="U6" i="70"/>
  <c r="V6" i="70" s="1"/>
  <c r="W6" i="70" s="1"/>
  <c r="X6" i="70" s="1"/>
  <c r="AA24" i="70"/>
  <c r="Z24" i="70"/>
  <c r="Y24" i="70"/>
  <c r="Y108" i="70"/>
  <c r="Z108" i="70"/>
  <c r="AA108" i="70"/>
  <c r="U26" i="70"/>
  <c r="V26" i="70" s="1"/>
  <c r="W26" i="70" s="1"/>
  <c r="X26" i="70" s="1"/>
  <c r="U9" i="70"/>
  <c r="V9" i="70" s="1"/>
  <c r="W9" i="70" s="1"/>
  <c r="X9" i="70" s="1"/>
  <c r="U21" i="70"/>
  <c r="V21" i="70" s="1"/>
  <c r="W21" i="70" s="1"/>
  <c r="X21" i="70" s="1"/>
  <c r="AA12" i="70" l="1"/>
  <c r="Y12" i="70"/>
  <c r="Z18" i="70"/>
  <c r="AA18" i="70"/>
  <c r="AA29" i="70"/>
  <c r="Z29" i="70"/>
  <c r="Y14" i="70"/>
  <c r="AA14" i="70"/>
  <c r="Y27" i="70"/>
  <c r="Z27" i="70"/>
  <c r="AA27" i="70"/>
  <c r="Z106" i="70"/>
  <c r="Y106" i="70"/>
  <c r="AA106" i="70"/>
  <c r="Z6" i="70"/>
  <c r="Y6" i="70"/>
  <c r="AA6" i="70"/>
  <c r="Y34" i="70"/>
  <c r="Z34" i="70"/>
  <c r="AA34" i="70"/>
  <c r="Z26" i="70"/>
  <c r="Y26" i="70"/>
  <c r="AA26" i="70"/>
  <c r="Y30" i="70"/>
  <c r="Z30" i="70"/>
  <c r="AA30" i="70"/>
  <c r="Z4" i="70"/>
  <c r="AA4" i="70"/>
  <c r="Y4" i="70"/>
  <c r="Y25" i="70"/>
  <c r="Z25" i="70"/>
  <c r="AA25" i="70"/>
  <c r="AA5" i="70"/>
  <c r="Y5" i="70"/>
  <c r="Z5" i="70"/>
  <c r="Z101" i="70"/>
  <c r="AA101" i="70"/>
  <c r="Y101" i="70"/>
  <c r="Y10" i="70"/>
  <c r="Z10" i="70"/>
  <c r="AA10" i="70"/>
  <c r="Y8" i="70"/>
  <c r="Z8" i="70"/>
  <c r="AA8" i="70"/>
  <c r="Z31" i="70"/>
  <c r="Y31" i="70"/>
  <c r="AA31" i="70"/>
  <c r="Y28" i="70"/>
  <c r="Z28" i="70"/>
  <c r="AA28" i="70"/>
  <c r="Y23" i="70"/>
  <c r="AA23" i="70"/>
  <c r="Z23" i="70"/>
  <c r="AA13" i="70"/>
  <c r="Z13" i="70"/>
  <c r="Y13" i="70"/>
  <c r="Y9" i="70"/>
  <c r="AA9" i="70"/>
  <c r="Z9" i="70"/>
  <c r="Y21" i="70"/>
  <c r="Z21" i="70"/>
  <c r="AA21" i="70"/>
  <c r="Y11" i="70"/>
  <c r="Z11" i="70"/>
  <c r="AA11" i="70"/>
  <c r="Z104" i="70"/>
  <c r="AA104" i="70"/>
  <c r="Y104" i="70"/>
  <c r="Z105" i="70"/>
  <c r="Y105" i="70"/>
  <c r="AA105" i="70"/>
  <c r="Z144" i="70" l="1"/>
  <c r="Z145" i="70" s="1"/>
  <c r="E2" i="75" s="1"/>
  <c r="E17" i="75" s="1"/>
  <c r="AA144" i="70"/>
  <c r="AA145" i="70" s="1"/>
  <c r="Y144" i="70"/>
  <c r="Y145" i="70" s="1"/>
  <c r="AB145" i="7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Sung-Yong</author>
  </authors>
  <commentList>
    <comment ref="C3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Sung-Yong: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상에선</t>
        </r>
        <r>
          <rPr>
            <sz val="9"/>
            <color indexed="81"/>
            <rFont val="Tahoma"/>
            <family val="2"/>
          </rPr>
          <t xml:space="preserve"> 490 MPa (Design of beam web connection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>)</t>
        </r>
      </text>
    </comment>
    <comment ref="D6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Sung-Yong: AISC DG #12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기둥센터라인까지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외삽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시트에서는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기둥면까지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외삽</t>
        </r>
        <r>
          <rPr>
            <b/>
            <sz val="9"/>
            <color indexed="81"/>
            <rFont val="Tahoma"/>
            <family val="2"/>
          </rPr>
          <t xml:space="preserve">.    </t>
        </r>
        <r>
          <rPr>
            <sz val="9"/>
            <color indexed="81"/>
            <rFont val="Tahoma"/>
            <family val="2"/>
          </rPr>
          <t xml:space="preserve">
              Mft         Mft
Vpz = ---------  -  ------
           0.95db       Hc
cf) AISC DG #12
              Mft                      Mft       sum[ Mpd + Vpd(L - L')/2 ]
Vpz = ----------- - Vc = ----------- - ---------------------------------------   where L' = beam span between critical plastic sections,
            0.95db                0.95db             (hb + dp + ht)                     L  = distance between column centerlines</t>
        </r>
      </text>
    </comment>
    <comment ref="D6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Sung-Yong: AISC DG #12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기둥변곡점의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전단력</t>
        </r>
        <r>
          <rPr>
            <b/>
            <sz val="9"/>
            <color indexed="81"/>
            <rFont val="Tahoma"/>
            <family val="2"/>
          </rPr>
          <t xml:space="preserve"> Vc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상하모멘트의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시트에서는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기둥약축소성모멘트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Mpc* = 2ZcyFy
cf) AISC DG #12
                                                                                   sum[ Mpd + Vpd(L - L')/2 ]
Mpb* = sum[ Mc ] = Mcb + Mct = Vc hb + Vc ht = --------------------------------------- x (hb + ht)
                                                                                           (hb + dp + ht)</t>
        </r>
      </text>
    </comment>
  </commentList>
</comments>
</file>

<file path=xl/sharedStrings.xml><?xml version="1.0" encoding="utf-8"?>
<sst xmlns="http://schemas.openxmlformats.org/spreadsheetml/2006/main" count="1829" uniqueCount="171">
  <si>
    <t>분할요소</t>
    <phoneticPr fontId="1" type="noConversion"/>
  </si>
  <si>
    <t>수평</t>
    <phoneticPr fontId="1" type="noConversion"/>
  </si>
  <si>
    <t>S</t>
    <phoneticPr fontId="1" type="noConversion"/>
  </si>
  <si>
    <t>a</t>
    <phoneticPr fontId="1" type="noConversion"/>
  </si>
  <si>
    <t>(mm)</t>
    <phoneticPr fontId="1" type="noConversion"/>
  </si>
  <si>
    <t>(degrees)</t>
    <phoneticPr fontId="1" type="noConversion"/>
  </si>
  <si>
    <r>
      <t>Δ</t>
    </r>
    <r>
      <rPr>
        <vertAlign val="subscript"/>
        <sz val="11"/>
        <color theme="1"/>
        <rFont val="맑은 고딕"/>
        <family val="3"/>
        <charset val="129"/>
      </rPr>
      <t>mi</t>
    </r>
    <phoneticPr fontId="1" type="noConversion"/>
  </si>
  <si>
    <r>
      <t>Δ</t>
    </r>
    <r>
      <rPr>
        <vertAlign val="subscript"/>
        <sz val="11"/>
        <color theme="1"/>
        <rFont val="맑은 고딕"/>
        <family val="3"/>
        <charset val="129"/>
      </rPr>
      <t>ui</t>
    </r>
    <phoneticPr fontId="1" type="noConversion"/>
  </si>
  <si>
    <r>
      <t>Δ</t>
    </r>
    <r>
      <rPr>
        <vertAlign val="subscript"/>
        <sz val="11"/>
        <color theme="1"/>
        <rFont val="맑은 고딕"/>
        <family val="3"/>
        <charset val="129"/>
      </rPr>
      <t>ui</t>
    </r>
    <r>
      <rPr>
        <sz val="11"/>
        <color theme="1"/>
        <rFont val="맑은 고딕"/>
        <family val="3"/>
        <charset val="129"/>
      </rPr>
      <t>/r</t>
    </r>
    <r>
      <rPr>
        <vertAlign val="subscript"/>
        <sz val="11"/>
        <color theme="1"/>
        <rFont val="맑은 고딕"/>
        <family val="3"/>
        <charset val="129"/>
      </rPr>
      <t>i</t>
    </r>
    <phoneticPr fontId="1" type="noConversion"/>
  </si>
  <si>
    <r>
      <t>Δ</t>
    </r>
    <r>
      <rPr>
        <vertAlign val="subscript"/>
        <sz val="11"/>
        <color theme="1"/>
        <rFont val="맑은 고딕"/>
        <family val="3"/>
        <charset val="129"/>
      </rPr>
      <t>i</t>
    </r>
    <phoneticPr fontId="1" type="noConversion"/>
  </si>
  <si>
    <r>
      <t>p</t>
    </r>
    <r>
      <rPr>
        <vertAlign val="subscript"/>
        <sz val="11"/>
        <color theme="1"/>
        <rFont val="맑은 고딕"/>
        <family val="3"/>
        <charset val="129"/>
      </rPr>
      <t>i</t>
    </r>
    <r>
      <rPr>
        <sz val="11"/>
        <color theme="1"/>
        <rFont val="맑은 고딕"/>
        <family val="3"/>
        <charset val="129"/>
      </rPr>
      <t xml:space="preserve"> =</t>
    </r>
    <phoneticPr fontId="1" type="noConversion"/>
  </si>
  <si>
    <r>
      <t>Δ</t>
    </r>
    <r>
      <rPr>
        <vertAlign val="subscript"/>
        <sz val="11"/>
        <color theme="1"/>
        <rFont val="맑은 고딕"/>
        <family val="3"/>
        <charset val="129"/>
      </rPr>
      <t>i</t>
    </r>
    <r>
      <rPr>
        <sz val="11"/>
        <color theme="1"/>
        <rFont val="맑은 고딕"/>
        <family val="3"/>
        <charset val="129"/>
      </rPr>
      <t>/Δ</t>
    </r>
    <r>
      <rPr>
        <vertAlign val="subscript"/>
        <sz val="11"/>
        <color theme="1"/>
        <rFont val="맑은 고딕"/>
        <family val="3"/>
        <charset val="129"/>
      </rPr>
      <t>mi</t>
    </r>
    <phoneticPr fontId="1" type="noConversion"/>
  </si>
  <si>
    <r>
      <t>f</t>
    </r>
    <r>
      <rPr>
        <vertAlign val="subscript"/>
        <sz val="11"/>
        <color theme="1"/>
        <rFont val="맑은 고딕"/>
        <family val="3"/>
        <charset val="129"/>
      </rPr>
      <t>pi</t>
    </r>
    <phoneticPr fontId="1" type="noConversion"/>
  </si>
  <si>
    <r>
      <t>R</t>
    </r>
    <r>
      <rPr>
        <vertAlign val="subscript"/>
        <sz val="11"/>
        <color theme="1"/>
        <rFont val="맑은 고딕"/>
        <family val="3"/>
        <charset val="129"/>
      </rPr>
      <t>i</t>
    </r>
    <phoneticPr fontId="1" type="noConversion"/>
  </si>
  <si>
    <r>
      <t>R</t>
    </r>
    <r>
      <rPr>
        <vertAlign val="subscript"/>
        <sz val="11"/>
        <color theme="1"/>
        <rFont val="맑은 고딕"/>
        <family val="3"/>
        <charset val="129"/>
      </rPr>
      <t>ix</t>
    </r>
    <phoneticPr fontId="1" type="noConversion"/>
  </si>
  <si>
    <r>
      <t>R</t>
    </r>
    <r>
      <rPr>
        <vertAlign val="subscript"/>
        <sz val="11"/>
        <color theme="1"/>
        <rFont val="맑은 고딕"/>
        <family val="3"/>
        <charset val="129"/>
      </rPr>
      <t>iy</t>
    </r>
    <phoneticPr fontId="1" type="noConversion"/>
  </si>
  <si>
    <r>
      <t>R</t>
    </r>
    <r>
      <rPr>
        <vertAlign val="subscript"/>
        <sz val="11"/>
        <color theme="1"/>
        <rFont val="맑은 고딕"/>
        <family val="3"/>
        <charset val="129"/>
      </rPr>
      <t>i</t>
    </r>
    <r>
      <rPr>
        <sz val="11"/>
        <color theme="1"/>
        <rFont val="맑은 고딕"/>
        <family val="3"/>
        <charset val="129"/>
      </rPr>
      <t>r</t>
    </r>
    <r>
      <rPr>
        <vertAlign val="subscript"/>
        <sz val="11"/>
        <color theme="1"/>
        <rFont val="맑은 고딕"/>
        <family val="3"/>
        <charset val="129"/>
      </rPr>
      <t>i</t>
    </r>
    <phoneticPr fontId="1" type="noConversion"/>
  </si>
  <si>
    <t>(kN-mm)</t>
    <phoneticPr fontId="1" type="noConversion"/>
  </si>
  <si>
    <t>(kN)</t>
    <phoneticPr fontId="1" type="noConversion"/>
  </si>
  <si>
    <r>
      <t>tan θ</t>
    </r>
    <r>
      <rPr>
        <vertAlign val="subscript"/>
        <sz val="11"/>
        <color theme="1"/>
        <rFont val="맑은 고딕"/>
        <family val="3"/>
        <charset val="129"/>
        <scheme val="minor"/>
      </rPr>
      <t>i</t>
    </r>
    <phoneticPr fontId="1" type="noConversion"/>
  </si>
  <si>
    <r>
      <t>θ</t>
    </r>
    <r>
      <rPr>
        <vertAlign val="subscript"/>
        <sz val="11"/>
        <color theme="1"/>
        <rFont val="맑은 고딕"/>
        <family val="3"/>
        <charset val="129"/>
        <scheme val="minor"/>
      </rPr>
      <t>i</t>
    </r>
    <phoneticPr fontId="1" type="noConversion"/>
  </si>
  <si>
    <r>
      <t>l</t>
    </r>
    <r>
      <rPr>
        <vertAlign val="subscript"/>
        <sz val="11"/>
        <color theme="1"/>
        <rFont val="맑은 고딕"/>
        <family val="3"/>
        <charset val="129"/>
        <scheme val="minor"/>
      </rPr>
      <t>i</t>
    </r>
    <phoneticPr fontId="1" type="noConversion"/>
  </si>
  <si>
    <r>
      <t>Δ</t>
    </r>
    <r>
      <rPr>
        <vertAlign val="subscript"/>
        <sz val="11"/>
        <color theme="1"/>
        <rFont val="맑은 고딕"/>
        <family val="3"/>
        <charset val="129"/>
      </rPr>
      <t>ucr</t>
    </r>
    <phoneticPr fontId="1" type="noConversion"/>
  </si>
  <si>
    <r>
      <t>r</t>
    </r>
    <r>
      <rPr>
        <vertAlign val="subscript"/>
        <sz val="11"/>
        <color theme="1"/>
        <rFont val="맑은 고딕"/>
        <family val="3"/>
        <charset val="129"/>
      </rPr>
      <t>icr</t>
    </r>
    <phoneticPr fontId="1" type="noConversion"/>
  </si>
  <si>
    <t>(MPa)</t>
    <phoneticPr fontId="1" type="noConversion"/>
  </si>
  <si>
    <r>
      <t>фR</t>
    </r>
    <r>
      <rPr>
        <vertAlign val="subscript"/>
        <sz val="11"/>
        <color theme="1"/>
        <rFont val="맑은 고딕"/>
        <family val="3"/>
        <charset val="129"/>
      </rPr>
      <t>ix</t>
    </r>
    <phoneticPr fontId="1" type="noConversion"/>
  </si>
  <si>
    <t>sigma</t>
    <phoneticPr fontId="1" type="noConversion"/>
  </si>
  <si>
    <r>
      <t>1/2 * M</t>
    </r>
    <r>
      <rPr>
        <vertAlign val="subscript"/>
        <sz val="11"/>
        <color theme="1"/>
        <rFont val="맑은 고딕"/>
        <family val="3"/>
        <charset val="129"/>
      </rPr>
      <t>web</t>
    </r>
    <phoneticPr fontId="1" type="noConversion"/>
  </si>
  <si>
    <r>
      <t>F</t>
    </r>
    <r>
      <rPr>
        <vertAlign val="subscript"/>
        <sz val="11"/>
        <color theme="1"/>
        <rFont val="맑은 고딕"/>
        <family val="3"/>
        <charset val="129"/>
        <scheme val="minor"/>
      </rPr>
      <t>w</t>
    </r>
    <phoneticPr fontId="1" type="noConversion"/>
  </si>
  <si>
    <r>
      <t>H</t>
    </r>
    <r>
      <rPr>
        <vertAlign val="subscript"/>
        <sz val="11"/>
        <color theme="1"/>
        <rFont val="맑은 고딕"/>
        <family val="3"/>
        <charset val="129"/>
      </rPr>
      <t>pl</t>
    </r>
    <r>
      <rPr>
        <sz val="11"/>
        <color theme="1"/>
        <rFont val="맑은 고딕"/>
        <family val="3"/>
        <charset val="129"/>
      </rPr>
      <t>, V</t>
    </r>
    <r>
      <rPr>
        <vertAlign val="subscript"/>
        <sz val="11"/>
        <color theme="1"/>
        <rFont val="맑은 고딕"/>
        <family val="3"/>
        <charset val="129"/>
      </rPr>
      <t>pl</t>
    </r>
    <phoneticPr fontId="1" type="noConversion"/>
  </si>
  <si>
    <t>sample</t>
    <phoneticPr fontId="1" type="noConversion"/>
  </si>
  <si>
    <t>example</t>
    <phoneticPr fontId="1" type="noConversion"/>
  </si>
  <si>
    <t>W (mm)</t>
    <phoneticPr fontId="1" type="noConversion"/>
  </si>
  <si>
    <t>l (mm)</t>
    <phoneticPr fontId="1" type="noConversion"/>
  </si>
  <si>
    <t>kl (mm)</t>
    <phoneticPr fontId="1" type="noConversion"/>
  </si>
  <si>
    <t>Pu (kN)</t>
    <phoneticPr fontId="1" type="noConversion"/>
  </si>
  <si>
    <t>e from IC</t>
    <phoneticPr fontId="1" type="noConversion"/>
  </si>
  <si>
    <r>
      <t>r</t>
    </r>
    <r>
      <rPr>
        <vertAlign val="sub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3"/>
        <charset val="129"/>
        <scheme val="minor"/>
      </rPr>
      <t xml:space="preserve"> from CG</t>
    </r>
    <phoneticPr fontId="1" type="noConversion"/>
  </si>
  <si>
    <t>x from CG</t>
    <phoneticPr fontId="1" type="noConversion"/>
  </si>
  <si>
    <t>y from CG</t>
    <phoneticPr fontId="1" type="noConversion"/>
  </si>
  <si>
    <t>CG from vertical</t>
    <phoneticPr fontId="1" type="noConversion"/>
  </si>
  <si>
    <t>e from CG</t>
    <phoneticPr fontId="1" type="noConversion"/>
  </si>
  <si>
    <r>
      <t>r</t>
    </r>
    <r>
      <rPr>
        <vertAlign val="subscript"/>
        <sz val="11"/>
        <color theme="1"/>
        <rFont val="맑은 고딕"/>
        <family val="3"/>
        <charset val="129"/>
        <scheme val="minor"/>
      </rPr>
      <t>ix</t>
    </r>
    <r>
      <rPr>
        <sz val="11"/>
        <color theme="1"/>
        <rFont val="맑은 고딕"/>
        <family val="3"/>
        <charset val="129"/>
        <scheme val="minor"/>
      </rPr>
      <t xml:space="preserve"> from IC</t>
    </r>
    <phoneticPr fontId="1" type="noConversion"/>
  </si>
  <si>
    <r>
      <t>r</t>
    </r>
    <r>
      <rPr>
        <vertAlign val="subscript"/>
        <sz val="11"/>
        <color theme="1"/>
        <rFont val="맑은 고딕"/>
        <family val="3"/>
        <charset val="129"/>
        <scheme val="minor"/>
      </rPr>
      <t>iy</t>
    </r>
    <r>
      <rPr>
        <sz val="11"/>
        <color theme="1"/>
        <rFont val="맑은 고딕"/>
        <family val="3"/>
        <charset val="129"/>
        <scheme val="minor"/>
      </rPr>
      <t xml:space="preserve"> from IC</t>
    </r>
    <phoneticPr fontId="1" type="noConversion"/>
  </si>
  <si>
    <t>from x-axis</t>
    <phoneticPr fontId="1" type="noConversion"/>
  </si>
  <si>
    <t>from y-axis</t>
    <phoneticPr fontId="1" type="noConversion"/>
  </si>
  <si>
    <t>e from IC</t>
    <phoneticPr fontId="1" type="noConversion"/>
  </si>
  <si>
    <t>C</t>
    <phoneticPr fontId="1" type="noConversion"/>
  </si>
  <si>
    <t>l (inch)</t>
    <phoneticPr fontId="1" type="noConversion"/>
  </si>
  <si>
    <t>k</t>
    <phoneticPr fontId="1" type="noConversion"/>
  </si>
  <si>
    <t>a</t>
    <phoneticPr fontId="1" type="noConversion"/>
  </si>
  <si>
    <t>D (1/16 incl)</t>
    <phoneticPr fontId="1" type="noConversion"/>
  </si>
  <si>
    <t>Pu (kips)</t>
    <phoneticPr fontId="1" type="noConversion"/>
  </si>
  <si>
    <t>CW-1</t>
    <phoneticPr fontId="1" type="noConversion"/>
  </si>
  <si>
    <t>예제</t>
  </si>
  <si>
    <t>H-400x200x8x13</t>
    <phoneticPr fontId="1" type="noConversion"/>
  </si>
  <si>
    <t>H-500x200x10x16</t>
    <phoneticPr fontId="1" type="noConversion"/>
  </si>
  <si>
    <t>WEAK-DB600-SW</t>
  </si>
  <si>
    <t>WEAK-DB700-SW</t>
  </si>
  <si>
    <t>H-800x300x14x26</t>
    <phoneticPr fontId="1" type="noConversion"/>
  </si>
  <si>
    <t>H-900x300x16x28</t>
    <phoneticPr fontId="1" type="noConversion"/>
  </si>
  <si>
    <t>Step1: a, b 치수 산정 (강축의 경우와 동일)</t>
  </si>
  <si>
    <t>Step0: Given</t>
  </si>
  <si>
    <t>Step2: b_RBS 산정 (강축의 경우와 동일)</t>
  </si>
  <si>
    <t>보</t>
  </si>
  <si>
    <t>O.K.(1)/N.G.(0)</t>
  </si>
  <si>
    <t>기둥</t>
  </si>
  <si>
    <t>Step3:</t>
  </si>
  <si>
    <t>스티프너</t>
  </si>
  <si>
    <t>Step5:SCWB Check</t>
  </si>
  <si>
    <t>용접</t>
  </si>
  <si>
    <t>기타</t>
  </si>
  <si>
    <t>Step6:</t>
  </si>
  <si>
    <t>1) 수평스티프너 두께</t>
  </si>
  <si>
    <t>2) trimming 여부</t>
  </si>
  <si>
    <t>3) 수직스티프너 두께 산정</t>
  </si>
  <si>
    <t>aspect ratio = d_pl/b_pl</t>
    <phoneticPr fontId="1" type="noConversion"/>
  </si>
  <si>
    <t>4) 수직스티프너와 보 웨브의 모살용접</t>
  </si>
  <si>
    <r>
      <t>DB</t>
    </r>
    <r>
      <rPr>
        <sz val="11"/>
        <color rgb="FF9C0006"/>
        <rFont val="맑은 고딕"/>
        <family val="2"/>
        <charset val="129"/>
        <scheme val="minor"/>
      </rPr>
      <t>4</t>
    </r>
    <r>
      <rPr>
        <sz val="11"/>
        <color rgb="FF9C0006"/>
        <rFont val="맑은 고딕"/>
        <family val="2"/>
        <charset val="129"/>
        <scheme val="minor"/>
      </rPr>
      <t>00</t>
    </r>
    <phoneticPr fontId="1" type="noConversion"/>
  </si>
  <si>
    <r>
      <t>DB</t>
    </r>
    <r>
      <rPr>
        <sz val="11"/>
        <color rgb="FF9C0006"/>
        <rFont val="맑은 고딕"/>
        <family val="2"/>
        <charset val="129"/>
        <scheme val="minor"/>
      </rPr>
      <t>5</t>
    </r>
    <r>
      <rPr>
        <sz val="11"/>
        <color rgb="FF9C0006"/>
        <rFont val="맑은 고딕"/>
        <family val="2"/>
        <charset val="129"/>
        <scheme val="minor"/>
      </rPr>
      <t>00</t>
    </r>
    <phoneticPr fontId="1" type="noConversion"/>
  </si>
  <si>
    <r>
      <t>D</t>
    </r>
    <r>
      <rPr>
        <sz val="11"/>
        <color rgb="FF9C0006"/>
        <rFont val="맑은 고딕"/>
        <family val="2"/>
        <charset val="129"/>
        <scheme val="minor"/>
      </rPr>
      <t>B800</t>
    </r>
    <phoneticPr fontId="1" type="noConversion"/>
  </si>
  <si>
    <r>
      <t>D</t>
    </r>
    <r>
      <rPr>
        <sz val="11"/>
        <color rgb="FF9C0006"/>
        <rFont val="맑은 고딕"/>
        <family val="2"/>
        <charset val="129"/>
        <scheme val="minor"/>
      </rPr>
      <t>B900</t>
    </r>
    <phoneticPr fontId="1" type="noConversion"/>
  </si>
  <si>
    <r>
      <t>CW-</t>
    </r>
    <r>
      <rPr>
        <sz val="11"/>
        <color rgb="FF9C0006"/>
        <rFont val="맑은 고딕"/>
        <family val="2"/>
        <charset val="129"/>
        <scheme val="minor"/>
      </rPr>
      <t>2</t>
    </r>
    <phoneticPr fontId="1" type="noConversion"/>
  </si>
  <si>
    <t>CW-1</t>
    <phoneticPr fontId="1" type="noConversion"/>
  </si>
  <si>
    <t>CW-2</t>
    <phoneticPr fontId="1" type="noConversion"/>
  </si>
  <si>
    <t>Step4: Panel zone check</t>
    <phoneticPr fontId="1" type="noConversion"/>
  </si>
  <si>
    <t>Trim(1)/Not(0)</t>
    <phoneticPr fontId="1" type="noConversion"/>
  </si>
  <si>
    <t>Hc (mm)</t>
    <phoneticPr fontId="1" type="noConversion"/>
  </si>
  <si>
    <t>L (mm)</t>
    <phoneticPr fontId="1" type="noConversion"/>
  </si>
  <si>
    <t>stickout (mm)</t>
    <phoneticPr fontId="1" type="noConversion"/>
  </si>
  <si>
    <t>L_b (mm)</t>
    <phoneticPr fontId="1" type="noConversion"/>
  </si>
  <si>
    <t>d_b (mm)</t>
    <phoneticPr fontId="1" type="noConversion"/>
  </si>
  <si>
    <t>b_f (mm)</t>
    <phoneticPr fontId="1" type="noConversion"/>
  </si>
  <si>
    <t>t_w (mm)</t>
    <phoneticPr fontId="1" type="noConversion"/>
  </si>
  <si>
    <t>t_f (mm)</t>
    <phoneticPr fontId="1" type="noConversion"/>
  </si>
  <si>
    <t>r (mm)</t>
    <phoneticPr fontId="1" type="noConversion"/>
  </si>
  <si>
    <t>Z_x (mm3)</t>
    <phoneticPr fontId="1" type="noConversion"/>
  </si>
  <si>
    <t>F_y (MPa)</t>
    <phoneticPr fontId="1" type="noConversion"/>
  </si>
  <si>
    <t>t_w (mm)</t>
    <phoneticPr fontId="1" type="noConversion"/>
  </si>
  <si>
    <t>t_f (mm)</t>
    <phoneticPr fontId="1" type="noConversion"/>
  </si>
  <si>
    <t>a(mm2)</t>
    <phoneticPr fontId="1" type="noConversion"/>
  </si>
  <si>
    <t>f_a (MPa)</t>
    <phoneticPr fontId="1" type="noConversion"/>
  </si>
  <si>
    <t>vertical load wg (N/mm)</t>
    <phoneticPr fontId="1" type="noConversion"/>
  </si>
  <si>
    <t>Vg (N)</t>
    <phoneticPr fontId="1" type="noConversion"/>
  </si>
  <si>
    <t>a (mm)</t>
    <phoneticPr fontId="1" type="noConversion"/>
  </si>
  <si>
    <t>b (mm)</t>
    <phoneticPr fontId="1" type="noConversion"/>
  </si>
  <si>
    <t>L' (mm)</t>
    <phoneticPr fontId="1" type="noConversion"/>
  </si>
  <si>
    <t>upper b_RBS (mm)</t>
    <phoneticPr fontId="1" type="noConversion"/>
  </si>
  <si>
    <t>try b_RBS (mm)</t>
    <phoneticPr fontId="1" type="noConversion"/>
  </si>
  <si>
    <t>0.5b_f (mm)</t>
    <phoneticPr fontId="1" type="noConversion"/>
  </si>
  <si>
    <t>0.65b_f (mm)</t>
    <phoneticPr fontId="1" type="noConversion"/>
  </si>
  <si>
    <t>C (mm)</t>
    <phoneticPr fontId="1" type="noConversion"/>
  </si>
  <si>
    <t>R (mm)</t>
    <phoneticPr fontId="1" type="noConversion"/>
  </si>
  <si>
    <t>Z_RBS (mm3)</t>
    <phoneticPr fontId="1" type="noConversion"/>
  </si>
  <si>
    <t>M_pd (kN-m)</t>
    <phoneticPr fontId="1" type="noConversion"/>
  </si>
  <si>
    <t>V_pd (kN)</t>
    <phoneticPr fontId="1" type="noConversion"/>
  </si>
  <si>
    <t>e (mm)</t>
    <phoneticPr fontId="1" type="noConversion"/>
  </si>
  <si>
    <t>V_pz (kN)</t>
    <phoneticPr fontId="1" type="noConversion"/>
  </si>
  <si>
    <t>V_n,pz (kN)</t>
    <phoneticPr fontId="1" type="noConversion"/>
  </si>
  <si>
    <t>Zcy (mm3)</t>
    <phoneticPr fontId="1" type="noConversion"/>
  </si>
  <si>
    <t>column - M*pc (kN-m)</t>
    <phoneticPr fontId="1" type="noConversion"/>
  </si>
  <si>
    <t>beam - M*pb (kN-m)</t>
    <phoneticPr fontId="1" type="noConversion"/>
  </si>
  <si>
    <t>상부 t (mm)</t>
    <phoneticPr fontId="1" type="noConversion"/>
  </si>
  <si>
    <t>하부 t (mm)</t>
    <phoneticPr fontId="1" type="noConversion"/>
  </si>
  <si>
    <t>try d_pl (mm)</t>
    <phoneticPr fontId="1" type="noConversion"/>
  </si>
  <si>
    <t>try b_pl (mm)</t>
    <phoneticPr fontId="1" type="noConversion"/>
  </si>
  <si>
    <t>M_wj (kN-m)</t>
    <phoneticPr fontId="1" type="noConversion"/>
  </si>
  <si>
    <t>M_wj/M_p</t>
    <phoneticPr fontId="1" type="noConversion"/>
  </si>
  <si>
    <t>M_web (kN-m)</t>
    <phoneticPr fontId="1" type="noConversion"/>
  </si>
  <si>
    <t>M_flg (kN-m)</t>
    <phoneticPr fontId="1" type="noConversion"/>
  </si>
  <si>
    <t>V_pl (kN)</t>
    <phoneticPr fontId="1" type="noConversion"/>
  </si>
  <si>
    <t>H_pl (kN)</t>
    <phoneticPr fontId="1" type="noConversion"/>
  </si>
  <si>
    <t>F_EXX (MPa)</t>
    <phoneticPr fontId="1" type="noConversion"/>
  </si>
  <si>
    <t>lower A_pl (mm2)</t>
    <phoneticPr fontId="1" type="noConversion"/>
  </si>
  <si>
    <t>t_pl (mm)</t>
    <phoneticPr fontId="1" type="noConversion"/>
  </si>
  <si>
    <t>M_cf/M_p</t>
  </si>
  <si>
    <t>Af_RBS/Af</t>
    <phoneticPr fontId="1" type="noConversion"/>
  </si>
  <si>
    <t>Z_RBS/Z_x</t>
    <phoneticPr fontId="1" type="noConversion"/>
  </si>
  <si>
    <t>d_c (mm)</t>
    <phoneticPr fontId="1" type="noConversion"/>
  </si>
  <si>
    <t>M_ft (kN-m)</t>
    <phoneticPr fontId="1" type="noConversion"/>
  </si>
  <si>
    <t>arm (mm)</t>
    <phoneticPr fontId="1" type="noConversion"/>
  </si>
  <si>
    <r>
      <t>C1 for F</t>
    </r>
    <r>
      <rPr>
        <vertAlign val="subscript"/>
        <sz val="11"/>
        <color theme="1"/>
        <rFont val="맑은 고딕"/>
        <family val="3"/>
        <charset val="129"/>
        <scheme val="minor"/>
      </rPr>
      <t>EXX</t>
    </r>
    <r>
      <rPr>
        <sz val="11"/>
        <color theme="1"/>
        <rFont val="맑은 고딕"/>
        <family val="2"/>
        <charset val="129"/>
        <scheme val="minor"/>
      </rPr>
      <t xml:space="preserve"> = 490</t>
    </r>
    <phoneticPr fontId="1" type="noConversion"/>
  </si>
  <si>
    <t>e'</t>
  </si>
  <si>
    <t>M_web/M_wj</t>
  </si>
  <si>
    <t>M_pd/M_wj</t>
  </si>
  <si>
    <t>H-588x300x12x20</t>
    <phoneticPr fontId="1" type="noConversion"/>
  </si>
  <si>
    <r>
      <t>D</t>
    </r>
    <r>
      <rPr>
        <sz val="11"/>
        <color rgb="FF9C0006"/>
        <rFont val="맑은 고딕"/>
        <family val="2"/>
        <charset val="129"/>
        <scheme val="minor"/>
      </rPr>
      <t>B588</t>
    </r>
    <phoneticPr fontId="1" type="noConversion"/>
  </si>
  <si>
    <t>WEAK-DB600-SW</t>
    <phoneticPr fontId="1" type="noConversion"/>
  </si>
  <si>
    <t>WEAK-DB700-SW</t>
    <phoneticPr fontId="1" type="noConversion"/>
  </si>
  <si>
    <t>Zflg/ZRBS</t>
  </si>
  <si>
    <t>Ry</t>
  </si>
  <si>
    <t>paper-ex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</si>
  <si>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맑은 고딕"/>
        <family val="2"/>
        <charset val="129"/>
        <scheme val="minor"/>
      </rPr>
      <t>Rn (kN)</t>
    </r>
    <phoneticPr fontId="1" type="noConversion"/>
  </si>
  <si>
    <r>
      <rPr>
        <sz val="11"/>
        <color theme="1"/>
        <rFont val="Calibri"/>
        <family val="2"/>
        <charset val="161"/>
      </rPr>
      <t>φ</t>
    </r>
    <r>
      <rPr>
        <sz val="11"/>
        <color theme="1"/>
        <rFont val="맑은 고딕"/>
        <family val="2"/>
        <charset val="129"/>
        <scheme val="minor"/>
      </rPr>
      <t>Rn (kips)</t>
    </r>
    <phoneticPr fontId="1" type="noConversion"/>
  </si>
  <si>
    <t>DB700</t>
    <phoneticPr fontId="1" type="noConversion"/>
  </si>
  <si>
    <r>
      <rPr>
        <sz val="11"/>
        <color theme="1"/>
        <rFont val="맑은 고딕"/>
        <family val="3"/>
        <charset val="129"/>
      </rPr>
      <t>φ</t>
    </r>
    <r>
      <rPr>
        <sz val="11"/>
        <color theme="1"/>
        <rFont val="맑은 고딕"/>
        <family val="2"/>
        <charset val="129"/>
        <scheme val="minor"/>
      </rPr>
      <t>Rn (kN)</t>
    </r>
    <phoneticPr fontId="1" type="noConversion"/>
  </si>
  <si>
    <t>Matlab</t>
    <phoneticPr fontId="1" type="noConversion"/>
  </si>
  <si>
    <t>Excel</t>
    <phoneticPr fontId="1" type="noConversion"/>
  </si>
  <si>
    <t>Table</t>
    <phoneticPr fontId="1" type="noConversion"/>
  </si>
  <si>
    <t>critical loc</t>
    <phoneticPr fontId="1" type="noConversion"/>
  </si>
  <si>
    <t>IC(mm)</t>
    <phoneticPr fontId="1" type="noConversion"/>
  </si>
  <si>
    <r>
      <t>φ</t>
    </r>
    <r>
      <rPr>
        <sz val="11"/>
        <color theme="1"/>
        <rFont val="Calibri"/>
        <family val="2"/>
      </rPr>
      <t>Rn</t>
    </r>
    <r>
      <rPr>
        <sz val="11"/>
        <color theme="1"/>
        <rFont val="Calibri"/>
        <family val="2"/>
        <charset val="161"/>
      </rPr>
      <t xml:space="preserve">
(kN)</t>
    </r>
    <phoneticPr fontId="1" type="noConversion"/>
  </si>
  <si>
    <t>HorzStart</t>
    <phoneticPr fontId="1" type="noConversion"/>
  </si>
  <si>
    <t>VertTop</t>
    <phoneticPr fontId="1" type="noConversion"/>
  </si>
  <si>
    <t>ex = al</t>
    <phoneticPr fontId="1" type="noConversion"/>
  </si>
  <si>
    <r>
      <t>r</t>
    </r>
    <r>
      <rPr>
        <vertAlign val="subscript"/>
        <sz val="11"/>
        <color theme="1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3"/>
        <charset val="129"/>
        <scheme val="minor"/>
      </rPr>
      <t xml:space="preserve"> from IC</t>
    </r>
    <phoneticPr fontId="1" type="noConversion"/>
  </si>
  <si>
    <t>HorzEnd</t>
    <phoneticPr fontId="1" type="noConversion"/>
  </si>
  <si>
    <t>HorzStart</t>
    <phoneticPr fontId="1" type="noConversion"/>
  </si>
  <si>
    <t>VertTop</t>
    <phoneticPr fontId="1" type="noConversion"/>
  </si>
  <si>
    <t>HorzEnd</t>
    <phoneticPr fontId="1" type="noConversion"/>
  </si>
  <si>
    <t>kl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</si>
</sst>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_-* #,##0.000_-;\-* #,##0.000_-;_-* &quot;-&quot;_-;_-@_-"/>
    <numFmt numFmtId="178" formatCode="_-* #,##0.00000_-;\-* #,##0.00000_-;_-* &quot;-&quot;_-;_-@_-"/>
    <numFmt numFmtId="179" formatCode="_-* #,##0.00000_-;\-* #,##0.00000_-;_-* &quot;-&quot;??_-;_-@_-"/>
    <numFmt numFmtId="180" formatCode="#,##0.000_ "/>
    <numFmt numFmtId="181" formatCode="0.0"/>
    <numFmt numFmtId="182" formatCode="0.000"/>
    <numFmt numFmtId="183" formatCode="0.0000"/>
    <numFmt numFmtId="184" formatCode="_-* #,##0.0000_-;\-* #,##0.0000_-;_-* &quot;-&quot;??_-;_-@_-"/>
    <numFmt numFmtId="185" formatCode="0.00000"/>
    <numFmt numFmtId="186" formatCode="_-* #,##0.000_-;\-* #,##0.000_-;_-* &quot;-&quot;??_-;_-@_-"/>
    <numFmt numFmtId="187" formatCode="_-* #,##0.0_-;\-* #,##0.0_-;_-* &quot;-&quot;_-;_-@_-"/>
  </numFmts>
  <fonts count="3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vertAlign val="subscript"/>
      <sz val="11"/>
      <color theme="1"/>
      <name val="맑은 고딕"/>
      <family val="3"/>
      <charset val="129"/>
    </font>
    <font>
      <vertAlign val="subscript"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000000"/>
      <name val="나눔고딕"/>
      <family val="2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44546A"/>
      <name val="Calibri"/>
      <family val="2"/>
      <charset val="129"/>
    </font>
    <font>
      <b/>
      <sz val="13"/>
      <color rgb="FF44546A"/>
      <name val="나눔고딕"/>
      <family val="3"/>
      <charset val="129"/>
    </font>
    <font>
      <b/>
      <sz val="11"/>
      <color rgb="FF44546A"/>
      <name val="나눔고딕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000000"/>
      <name val="맑은 고딕"/>
      <family val="2"/>
      <scheme val="major"/>
    </font>
    <font>
      <sz val="11"/>
      <name val="맑은 고딕"/>
      <family val="2"/>
      <scheme val="major"/>
    </font>
    <font>
      <sz val="11"/>
      <color theme="1"/>
      <name val="Calibri"/>
      <family val="3"/>
      <charset val="161"/>
    </font>
    <font>
      <sz val="11"/>
      <color theme="1"/>
      <name val="맑은 고딕"/>
      <family val="3"/>
      <charset val="161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7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/>
      <right/>
      <top/>
      <bottom style="medium">
        <color rgb="FF9DC3E6"/>
      </bottom>
      <diagonal/>
    </border>
    <border>
      <left/>
      <right/>
      <top/>
      <bottom style="thick">
        <color rgb="FFADCDEA"/>
      </bottom>
      <diagonal/>
    </border>
    <border>
      <left/>
      <right/>
      <top style="thick">
        <color rgb="FFADCDEA"/>
      </top>
      <bottom style="medium">
        <color rgb="FF9DC3E6"/>
      </bottom>
      <diagonal/>
    </border>
  </borders>
  <cellStyleXfs count="11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6" fillId="0" borderId="3" applyProtection="0">
      <alignment vertical="center"/>
    </xf>
    <xf numFmtId="0" fontId="19" fillId="5" borderId="0" applyNumberFormat="0" applyBorder="0" applyAlignment="0" applyProtection="0"/>
  </cellStyleXfs>
  <cellXfs count="85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178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179" fontId="0" fillId="0" borderId="0" xfId="1" applyNumberFormat="1" applyFont="1">
      <alignment vertical="center"/>
    </xf>
    <xf numFmtId="41" fontId="3" fillId="0" borderId="0" xfId="1" applyFont="1" applyAlignment="1">
      <alignment horizontal="left" vertical="center"/>
    </xf>
    <xf numFmtId="180" fontId="0" fillId="0" borderId="0" xfId="1" applyNumberFormat="1" applyFont="1" applyAlignment="1">
      <alignment vertical="center" shrinkToFit="1"/>
    </xf>
    <xf numFmtId="18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2" borderId="1" xfId="2" applyFont="1" applyAlignment="1">
      <alignment horizontal="center" vertical="center"/>
    </xf>
    <xf numFmtId="0" fontId="0" fillId="2" borderId="1" xfId="2" applyFont="1">
      <alignment vertical="center"/>
    </xf>
    <xf numFmtId="0" fontId="0" fillId="2" borderId="1" xfId="2" applyFont="1" applyAlignment="1">
      <alignment horizontal="center" vertical="center"/>
    </xf>
    <xf numFmtId="0" fontId="4" fillId="2" borderId="1" xfId="2" applyFont="1" applyAlignment="1">
      <alignment horizontal="center" vertical="center"/>
    </xf>
    <xf numFmtId="43" fontId="0" fillId="0" borderId="0" xfId="0" applyNumberFormat="1">
      <alignment vertical="center"/>
    </xf>
    <xf numFmtId="0" fontId="0" fillId="2" borderId="1" xfId="2" applyFont="1" applyAlignment="1">
      <alignment horizontal="left" vertical="center"/>
    </xf>
    <xf numFmtId="177" fontId="8" fillId="4" borderId="0" xfId="4" applyNumberFormat="1">
      <alignment vertical="center"/>
    </xf>
    <xf numFmtId="177" fontId="7" fillId="3" borderId="0" xfId="3" applyNumberFormat="1">
      <alignment vertical="center"/>
    </xf>
    <xf numFmtId="180" fontId="7" fillId="3" borderId="0" xfId="3" applyNumberFormat="1">
      <alignment vertical="center"/>
    </xf>
    <xf numFmtId="43" fontId="0" fillId="0" borderId="0" xfId="1" applyNumberFormat="1" applyFont="1">
      <alignment vertical="center"/>
    </xf>
    <xf numFmtId="184" fontId="0" fillId="0" borderId="0" xfId="0" applyNumberFormat="1">
      <alignment vertical="center"/>
    </xf>
    <xf numFmtId="0" fontId="10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182" fontId="10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183" fontId="10" fillId="0" borderId="0" xfId="0" applyNumberFormat="1" applyFont="1">
      <alignment vertical="center"/>
    </xf>
    <xf numFmtId="183" fontId="10" fillId="2" borderId="1" xfId="2" applyNumberFormat="1" applyFont="1">
      <alignment vertical="center"/>
    </xf>
    <xf numFmtId="181" fontId="10" fillId="0" borderId="0" xfId="0" applyNumberFormat="1" applyFont="1">
      <alignment vertical="center"/>
    </xf>
    <xf numFmtId="0" fontId="14" fillId="0" borderId="0" xfId="8" applyFont="1" applyAlignment="1">
      <alignment horizontal="right" vertical="center"/>
    </xf>
    <xf numFmtId="176" fontId="14" fillId="0" borderId="0" xfId="1" applyNumberFormat="1" applyFont="1">
      <alignment vertical="center"/>
    </xf>
    <xf numFmtId="0" fontId="14" fillId="0" borderId="0" xfId="8" applyFont="1">
      <alignment vertical="center"/>
    </xf>
    <xf numFmtId="176" fontId="15" fillId="0" borderId="2" xfId="1" applyNumberFormat="1" applyFont="1" applyBorder="1" applyAlignment="1" applyProtection="1">
      <alignment horizontal="center" vertical="center"/>
    </xf>
    <xf numFmtId="176" fontId="14" fillId="0" borderId="0" xfId="1" applyNumberFormat="1" applyFont="1" applyAlignment="1">
      <alignment horizontal="center" vertical="center"/>
    </xf>
    <xf numFmtId="176" fontId="14" fillId="0" borderId="0" xfId="1" applyNumberFormat="1" applyFont="1" applyAlignment="1">
      <alignment horizontal="right" vertical="center"/>
    </xf>
    <xf numFmtId="177" fontId="14" fillId="0" borderId="0" xfId="1" applyNumberFormat="1" applyFont="1" applyAlignment="1">
      <alignment horizontal="center" vertical="center"/>
    </xf>
    <xf numFmtId="10" fontId="14" fillId="0" borderId="0" xfId="7" applyNumberFormat="1" applyFont="1" applyAlignment="1">
      <alignment horizontal="right" vertical="center"/>
    </xf>
    <xf numFmtId="185" fontId="10" fillId="0" borderId="0" xfId="0" applyNumberFormat="1" applyFont="1">
      <alignment vertical="center"/>
    </xf>
    <xf numFmtId="0" fontId="18" fillId="0" borderId="5" xfId="9" applyFont="1" applyBorder="1" applyAlignment="1" applyProtection="1">
      <alignment horizontal="left" vertical="center"/>
    </xf>
    <xf numFmtId="0" fontId="18" fillId="0" borderId="3" xfId="9" applyFont="1" applyBorder="1" applyAlignment="1" applyProtection="1">
      <alignment horizontal="left" vertical="center"/>
    </xf>
    <xf numFmtId="0" fontId="17" fillId="0" borderId="4" xfId="9" applyFont="1" applyBorder="1" applyAlignment="1" applyProtection="1">
      <alignment horizontal="left" vertical="center"/>
    </xf>
    <xf numFmtId="177" fontId="14" fillId="0" borderId="0" xfId="1" applyNumberFormat="1" applyFont="1" applyAlignment="1">
      <alignment horizontal="right" vertical="center"/>
    </xf>
    <xf numFmtId="2" fontId="12" fillId="4" borderId="0" xfId="4" applyNumberFormat="1" applyFont="1">
      <alignment vertical="center"/>
    </xf>
    <xf numFmtId="176" fontId="15" fillId="0" borderId="0" xfId="1" applyNumberFormat="1" applyFont="1" applyBorder="1" applyAlignment="1" applyProtection="1">
      <alignment horizontal="center" vertical="center"/>
    </xf>
    <xf numFmtId="43" fontId="14" fillId="0" borderId="0" xfId="8" applyNumberFormat="1" applyFont="1">
      <alignment vertical="center"/>
    </xf>
    <xf numFmtId="176" fontId="20" fillId="0" borderId="0" xfId="10" applyNumberFormat="1" applyFont="1" applyFill="1" applyAlignment="1">
      <alignment vertical="center"/>
    </xf>
    <xf numFmtId="176" fontId="21" fillId="0" borderId="0" xfId="10" applyNumberFormat="1" applyFont="1" applyFill="1" applyBorder="1" applyAlignment="1" applyProtection="1">
      <alignment horizontal="center" vertical="center"/>
    </xf>
    <xf numFmtId="0" fontId="21" fillId="0" borderId="4" xfId="10" applyFont="1" applyFill="1" applyBorder="1" applyAlignment="1" applyProtection="1">
      <alignment horizontal="left" vertical="center"/>
    </xf>
    <xf numFmtId="176" fontId="21" fillId="0" borderId="0" xfId="10" applyNumberFormat="1" applyFont="1" applyFill="1" applyAlignment="1">
      <alignment horizontal="center" vertical="center"/>
    </xf>
    <xf numFmtId="0" fontId="21" fillId="0" borderId="3" xfId="10" applyFont="1" applyFill="1" applyBorder="1" applyAlignment="1" applyProtection="1">
      <alignment horizontal="left" vertical="center"/>
    </xf>
    <xf numFmtId="176" fontId="21" fillId="0" borderId="0" xfId="10" applyNumberFormat="1" applyFont="1" applyFill="1" applyAlignment="1">
      <alignment horizontal="right" vertical="center"/>
    </xf>
    <xf numFmtId="177" fontId="21" fillId="0" borderId="0" xfId="10" applyNumberFormat="1" applyFont="1" applyFill="1" applyAlignment="1">
      <alignment horizontal="center" vertical="center"/>
    </xf>
    <xf numFmtId="177" fontId="21" fillId="0" borderId="0" xfId="10" applyNumberFormat="1" applyFont="1" applyFill="1" applyAlignment="1">
      <alignment horizontal="right" vertical="center"/>
    </xf>
    <xf numFmtId="0" fontId="21" fillId="0" borderId="5" xfId="10" applyFont="1" applyFill="1" applyBorder="1" applyAlignment="1" applyProtection="1">
      <alignment horizontal="left" vertical="center"/>
    </xf>
    <xf numFmtId="10" fontId="21" fillId="0" borderId="0" xfId="10" applyNumberFormat="1" applyFont="1" applyFill="1" applyAlignment="1">
      <alignment horizontal="right" vertical="center"/>
    </xf>
    <xf numFmtId="176" fontId="22" fillId="0" borderId="2" xfId="10" applyNumberFormat="1" applyFont="1" applyFill="1" applyBorder="1" applyAlignment="1" applyProtection="1">
      <alignment horizontal="center" vertical="center"/>
    </xf>
    <xf numFmtId="182" fontId="14" fillId="0" borderId="0" xfId="8" applyNumberFormat="1" applyFont="1">
      <alignment vertical="center"/>
    </xf>
    <xf numFmtId="43" fontId="17" fillId="0" borderId="4" xfId="9" applyNumberFormat="1" applyFont="1" applyBorder="1" applyAlignment="1" applyProtection="1">
      <alignment horizontal="left" vertical="center"/>
    </xf>
    <xf numFmtId="0" fontId="0" fillId="0" borderId="0" xfId="0" applyFont="1" applyAlignment="1">
      <alignment horizontal="right" vertical="center"/>
    </xf>
    <xf numFmtId="1" fontId="27" fillId="0" borderId="0" xfId="1" applyNumberFormat="1" applyFont="1" applyAlignment="1">
      <alignment horizontal="center" vertical="center"/>
    </xf>
    <xf numFmtId="1" fontId="28" fillId="0" borderId="0" xfId="10" applyNumberFormat="1" applyFont="1" applyFill="1" applyAlignment="1">
      <alignment horizontal="center" vertical="center"/>
    </xf>
    <xf numFmtId="2" fontId="10" fillId="0" borderId="0" xfId="0" applyNumberFormat="1" applyFont="1">
      <alignment vertical="center"/>
    </xf>
    <xf numFmtId="43" fontId="10" fillId="0" borderId="0" xfId="0" applyNumberFormat="1" applyFont="1">
      <alignment vertical="center"/>
    </xf>
    <xf numFmtId="0" fontId="30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182" fontId="8" fillId="4" borderId="0" xfId="4" applyNumberFormat="1">
      <alignment vertical="center"/>
    </xf>
    <xf numFmtId="186" fontId="0" fillId="0" borderId="0" xfId="0" applyNumberFormat="1">
      <alignment vertical="center"/>
    </xf>
    <xf numFmtId="10" fontId="10" fillId="0" borderId="0" xfId="7" applyNumberFormat="1" applyFo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10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0" fontId="4" fillId="2" borderId="1" xfId="2" applyFont="1" applyAlignment="1">
      <alignment horizontal="center" vertical="center" wrapText="1"/>
    </xf>
    <xf numFmtId="187" fontId="0" fillId="0" borderId="0" xfId="1" applyNumberFormat="1" applyFont="1">
      <alignment vertical="center"/>
    </xf>
    <xf numFmtId="0" fontId="7" fillId="3" borderId="0" xfId="3" applyFont="1" applyAlignment="1">
      <alignment horizontal="center" vertical="center"/>
    </xf>
    <xf numFmtId="0" fontId="11" fillId="3" borderId="0" xfId="3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1">
    <cellStyle name="TableStyleLight1" xfId="9" xr:uid="{00000000-0005-0000-0000-000000000000}"/>
    <cellStyle name="강조색4" xfId="10" builtinId="41"/>
    <cellStyle name="나쁨" xfId="3" builtinId="27"/>
    <cellStyle name="메모" xfId="2" builtinId="10"/>
    <cellStyle name="백분율" xfId="7" builtinId="5"/>
    <cellStyle name="백분율 2" xfId="6" xr:uid="{00000000-0005-0000-0000-000005000000}"/>
    <cellStyle name="쉼표 [0]" xfId="1" builtinId="6"/>
    <cellStyle name="좋음" xfId="4" builtinId="26"/>
    <cellStyle name="표준" xfId="0" builtinId="0"/>
    <cellStyle name="표준 2" xfId="5" xr:uid="{00000000-0005-0000-0000-000009000000}"/>
    <cellStyle name="표준 2 2" xfId="8" xr:uid="{00000000-0005-0000-0000-00000A000000}"/>
  </cellStyles>
  <dxfs count="363"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stiffener_C_shaped_weld!$C$17:$J$17</c:f>
              <c:numCache>
                <c:formatCode>_-* #,##0.00_-;\-* #,##0.00_-;_-* "-"_-;_-@_-</c:formatCode>
                <c:ptCount val="8"/>
                <c:pt idx="0">
                  <c:v>3325</c:v>
                </c:pt>
                <c:pt idx="1">
                  <c:v>4360</c:v>
                </c:pt>
                <c:pt idx="2">
                  <c:v>4966.666666666667</c:v>
                </c:pt>
                <c:pt idx="3">
                  <c:v>7636.0544217687075</c:v>
                </c:pt>
                <c:pt idx="4">
                  <c:v>9228.5714285714294</c:v>
                </c:pt>
                <c:pt idx="5">
                  <c:v>10300</c:v>
                </c:pt>
                <c:pt idx="6">
                  <c:v>11666.666666666666</c:v>
                </c:pt>
                <c:pt idx="7">
                  <c:v>10441.168802228412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2-43D8-B03F-5FE5D55B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03167"/>
        <c:axId val="1022788607"/>
      </c:scatterChart>
      <c:valAx>
        <c:axId val="102280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788607"/>
        <c:crosses val="autoZero"/>
        <c:crossBetween val="midCat"/>
      </c:valAx>
      <c:valAx>
        <c:axId val="10227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80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stiffener_C_shaped_weld!$C$56:$J$56</c:f>
              <c:numCache>
                <c:formatCode>_-* #,##0.00_-;\-* #,##0.00_-;_-* "-"_-;_-@_-</c:formatCode>
                <c:ptCount val="8"/>
                <c:pt idx="0">
                  <c:v>0.75935522740000005</c:v>
                </c:pt>
                <c:pt idx="1">
                  <c:v>1.0154899524000003</c:v>
                </c:pt>
                <c:pt idx="2">
                  <c:v>1.1862985794916669</c:v>
                </c:pt>
                <c:pt idx="3">
                  <c:v>1.7887870104761905</c:v>
                </c:pt>
                <c:pt idx="4">
                  <c:v>2.1925662902000007</c:v>
                </c:pt>
                <c:pt idx="5">
                  <c:v>2.3982908526500002</c:v>
                </c:pt>
                <c:pt idx="6">
                  <c:v>2.6740633372444442</c:v>
                </c:pt>
                <c:pt idx="7">
                  <c:v>3.1397363630381858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7-4D69-AE15-D789F1FA3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13919"/>
        <c:axId val="1167328063"/>
      </c:scatterChart>
      <c:valAx>
        <c:axId val="11673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328063"/>
        <c:crosses val="autoZero"/>
        <c:crossBetween val="midCat"/>
      </c:valAx>
      <c:valAx>
        <c:axId val="11673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3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stiffener_C_shaped_weld!$C$91:$I$91</c:f>
              <c:numCache>
                <c:formatCode>_-* #,##0.000_-;\-* #,##0.000_-;_-* "-"_-;_-@_-</c:formatCode>
                <c:ptCount val="7"/>
                <c:pt idx="0">
                  <c:v>3.411066723345451E-2</c:v>
                </c:pt>
                <c:pt idx="1">
                  <c:v>0.12659516628011688</c:v>
                </c:pt>
                <c:pt idx="2">
                  <c:v>0.2172190567512976</c:v>
                </c:pt>
                <c:pt idx="3">
                  <c:v>8.7205793434395676E-2</c:v>
                </c:pt>
                <c:pt idx="4">
                  <c:v>0.1252430386821263</c:v>
                </c:pt>
                <c:pt idx="5">
                  <c:v>0.14853525530455772</c:v>
                </c:pt>
                <c:pt idx="6">
                  <c:v>0.19238322285099418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2-4FF2-8A1F-EE1FA551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23487"/>
        <c:axId val="1167324735"/>
      </c:scatterChart>
      <c:valAx>
        <c:axId val="116732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324735"/>
        <c:crosses val="autoZero"/>
        <c:crossBetween val="midCat"/>
      </c:valAx>
      <c:valAx>
        <c:axId val="11673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32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stiffener_C_shaped_weld!$C$53:$I$53</c:f>
              <c:numCache>
                <c:formatCode>_-* #,##0.000_-;\-* #,##0.000_-;_-* "-"_-;_-@_-</c:formatCode>
                <c:ptCount val="7"/>
                <c:pt idx="0">
                  <c:v>1.1887733850082403</c:v>
                </c:pt>
                <c:pt idx="1">
                  <c:v>1.1053600931719076</c:v>
                </c:pt>
                <c:pt idx="2">
                  <c:v>1.0138733583892954</c:v>
                </c:pt>
                <c:pt idx="3">
                  <c:v>1.1731683463471525</c:v>
                </c:pt>
                <c:pt idx="4">
                  <c:v>1.1375993806656948</c:v>
                </c:pt>
                <c:pt idx="5">
                  <c:v>1.1256413307281101</c:v>
                </c:pt>
                <c:pt idx="6">
                  <c:v>1.0929408645406671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B-4A0E-BECC-30C0C624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815584"/>
        <c:axId val="1584816416"/>
      </c:scatterChart>
      <c:valAx>
        <c:axId val="15848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816416"/>
        <c:crosses val="autoZero"/>
        <c:crossBetween val="midCat"/>
      </c:valAx>
      <c:valAx>
        <c:axId val="15848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8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stiffener_C_shaped_weld!$C$58:$J$58</c:f>
              <c:numCache>
                <c:formatCode>_-* #,##0.000_-;\-* #,##0.000_-;_-* "-"_-;_-@_-</c:formatCode>
                <c:ptCount val="8"/>
                <c:pt idx="0">
                  <c:v>0.21851948989928061</c:v>
                </c:pt>
                <c:pt idx="1">
                  <c:v>0.29757947323076928</c:v>
                </c:pt>
                <c:pt idx="2">
                  <c:v>0.35411897895273642</c:v>
                </c:pt>
                <c:pt idx="3">
                  <c:v>0.5327734953019182</c:v>
                </c:pt>
                <c:pt idx="4">
                  <c:v>0.66694031641064655</c:v>
                </c:pt>
                <c:pt idx="5">
                  <c:v>0.74365607834108549</c:v>
                </c:pt>
                <c:pt idx="6">
                  <c:v>0.84555362442512083</c:v>
                </c:pt>
                <c:pt idx="7">
                  <c:v>1.1712324260303117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4-40E3-8A69-93FA93647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813088"/>
        <c:axId val="1584811008"/>
      </c:scatterChart>
      <c:valAx>
        <c:axId val="15848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811008"/>
        <c:crosses val="autoZero"/>
        <c:crossBetween val="midCat"/>
      </c:valAx>
      <c:valAx>
        <c:axId val="15848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8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1129393</xdr:colOff>
      <xdr:row>10</xdr:row>
      <xdr:rowOff>79828</xdr:rowOff>
    </xdr:from>
    <xdr:to>
      <xdr:col>17</xdr:col>
      <xdr:colOff>113393</xdr:colOff>
      <xdr:row>23</xdr:row>
      <xdr:rowOff>110671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222250</xdr:colOff>
      <xdr:row>45</xdr:row>
      <xdr:rowOff>143328</xdr:rowOff>
    </xdr:from>
    <xdr:to>
      <xdr:col>15</xdr:col>
      <xdr:colOff>458107</xdr:colOff>
      <xdr:row>59</xdr:row>
      <xdr:rowOff>174171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104321</xdr:colOff>
      <xdr:row>82</xdr:row>
      <xdr:rowOff>206829</xdr:rowOff>
    </xdr:from>
    <xdr:to>
      <xdr:col>17</xdr:col>
      <xdr:colOff>231321</xdr:colOff>
      <xdr:row>96</xdr:row>
      <xdr:rowOff>29029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512535</xdr:colOff>
      <xdr:row>29</xdr:row>
      <xdr:rowOff>97971</xdr:rowOff>
    </xdr:from>
    <xdr:to>
      <xdr:col>16</xdr:col>
      <xdr:colOff>122464</xdr:colOff>
      <xdr:row>42</xdr:row>
      <xdr:rowOff>128814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13607</xdr:colOff>
      <xdr:row>34</xdr:row>
      <xdr:rowOff>134257</xdr:rowOff>
    </xdr:from>
    <xdr:to>
      <xdr:col>15</xdr:col>
      <xdr:colOff>249464</xdr:colOff>
      <xdr:row>47</xdr:row>
      <xdr:rowOff>165100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144"/>
  <sheetViews>
    <sheetView zoomScale="85" zoomScaleNormal="85" workbookViewId="0">
      <selection activeCell="B4" sqref="B4"/>
    </sheetView>
  </sheetViews>
  <sheetFormatPr defaultRowHeight="16.5"/>
  <cols>
    <col min="1" max="2" width="9" customWidth="1"/>
    <col min="3" max="3" width="2.375" customWidth="1"/>
    <col min="8" max="8" width="8.875" hidden="1" customWidth="1"/>
    <col min="9" max="9" width="9" hidden="1" customWidth="1"/>
    <col min="10" max="10" width="8.875" customWidth="1"/>
    <col min="15" max="15" width="2.375" customWidth="1"/>
    <col min="16" max="17" width="9.375" bestFit="1" customWidth="1"/>
    <col min="18" max="18" width="10.5" customWidth="1"/>
    <col min="19" max="20" width="9.375" customWidth="1"/>
    <col min="21" max="23" width="9.375" bestFit="1" customWidth="1"/>
    <col min="24" max="26" width="10.25" customWidth="1"/>
    <col min="27" max="27" width="15" customWidth="1"/>
    <col min="28" max="28" width="10.25" customWidth="1"/>
    <col min="29" max="29" width="13.75" customWidth="1"/>
    <col min="30" max="30" width="13.625" bestFit="1" customWidth="1"/>
    <col min="31" max="31" width="13.375" bestFit="1" customWidth="1"/>
  </cols>
  <sheetData>
    <row r="1" spans="1:30" ht="22.5" customHeight="1">
      <c r="A1" s="11" t="s">
        <v>28</v>
      </c>
      <c r="B1" s="11" t="s">
        <v>37</v>
      </c>
      <c r="C1" s="12"/>
      <c r="D1" s="13" t="s">
        <v>1</v>
      </c>
      <c r="E1" s="11" t="s">
        <v>21</v>
      </c>
      <c r="F1" s="13" t="s">
        <v>2</v>
      </c>
      <c r="G1" s="13" t="s">
        <v>3</v>
      </c>
      <c r="H1" s="13" t="s">
        <v>38</v>
      </c>
      <c r="I1" s="13" t="s">
        <v>39</v>
      </c>
      <c r="J1" s="11" t="s">
        <v>42</v>
      </c>
      <c r="K1" s="11" t="s">
        <v>43</v>
      </c>
      <c r="L1" s="11" t="s">
        <v>165</v>
      </c>
      <c r="M1" s="13" t="s">
        <v>19</v>
      </c>
      <c r="N1" s="13" t="s">
        <v>20</v>
      </c>
      <c r="O1" s="12"/>
      <c r="P1" s="14" t="s">
        <v>6</v>
      </c>
      <c r="Q1" s="14" t="s">
        <v>7</v>
      </c>
      <c r="R1" s="14" t="s">
        <v>8</v>
      </c>
      <c r="S1" s="14" t="s">
        <v>22</v>
      </c>
      <c r="T1" s="14" t="s">
        <v>23</v>
      </c>
      <c r="U1" s="14" t="s">
        <v>9</v>
      </c>
      <c r="V1" s="14" t="s">
        <v>10</v>
      </c>
      <c r="W1" s="14" t="s">
        <v>12</v>
      </c>
      <c r="X1" s="14" t="s">
        <v>13</v>
      </c>
      <c r="Y1" s="14" t="s">
        <v>14</v>
      </c>
      <c r="Z1" s="14" t="s">
        <v>15</v>
      </c>
      <c r="AA1" s="14" t="s">
        <v>16</v>
      </c>
      <c r="AB1" s="14" t="s">
        <v>40</v>
      </c>
      <c r="AC1" s="15"/>
    </row>
    <row r="2" spans="1:30" ht="22.5" customHeight="1">
      <c r="A2" s="11" t="s">
        <v>24</v>
      </c>
      <c r="B2" s="11" t="s">
        <v>4</v>
      </c>
      <c r="C2" s="12"/>
      <c r="D2" s="13" t="s">
        <v>0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44</v>
      </c>
      <c r="N2" s="13" t="s">
        <v>5</v>
      </c>
      <c r="O2" s="12"/>
      <c r="P2" s="13" t="s">
        <v>4</v>
      </c>
      <c r="Q2" s="13" t="s">
        <v>4</v>
      </c>
      <c r="R2" s="13"/>
      <c r="S2" s="13" t="s">
        <v>4</v>
      </c>
      <c r="T2" s="13" t="s">
        <v>4</v>
      </c>
      <c r="U2" s="13" t="s">
        <v>4</v>
      </c>
      <c r="V2" s="14" t="s">
        <v>11</v>
      </c>
      <c r="W2" s="13"/>
      <c r="X2" s="13" t="s">
        <v>18</v>
      </c>
      <c r="Y2" s="13" t="s">
        <v>18</v>
      </c>
      <c r="Z2" s="13" t="s">
        <v>18</v>
      </c>
      <c r="AA2" s="13" t="s">
        <v>17</v>
      </c>
      <c r="AB2" s="14" t="s">
        <v>4</v>
      </c>
      <c r="AC2" s="15"/>
    </row>
    <row r="3" spans="1:30">
      <c r="A3" s="7">
        <f>stiffener_C_shaped_weld!E30</f>
        <v>490</v>
      </c>
      <c r="B3" s="3">
        <f>MAX($D$3:$D$95)*E3-AB3--62.653294</f>
        <v>614.65329399999996</v>
      </c>
      <c r="D3" s="1">
        <v>1</v>
      </c>
      <c r="E3" s="2">
        <v>10</v>
      </c>
      <c r="F3" s="20">
        <v>10</v>
      </c>
      <c r="G3" s="2">
        <f>F3/SQRT(2)</f>
        <v>7.0710678118654746</v>
      </c>
      <c r="H3" s="20">
        <f t="shared" ref="H3:H34" si="0">(MAX($D$3:$D$95)-D3+0.5)*E3-$AB$3</f>
        <v>547</v>
      </c>
      <c r="I3" s="2">
        <f>(MAX(D98:D140)-MAX(D3:D95))*E98</f>
        <v>230</v>
      </c>
      <c r="J3" s="20">
        <f>H3-B3</f>
        <v>-67.65329399999996</v>
      </c>
      <c r="K3" s="2">
        <f>I3</f>
        <v>230</v>
      </c>
      <c r="L3" s="2">
        <f>SQRT(J3^2+K3^2)</f>
        <v>239.74354670991758</v>
      </c>
      <c r="M3" s="2">
        <f>ABS(J3/K3)</f>
        <v>0.29414475652173894</v>
      </c>
      <c r="N3" s="2">
        <f>ATAN(M3)*180/PI()</f>
        <v>16.390969914330277</v>
      </c>
      <c r="P3" s="4">
        <f>0.209 * (N3+2)^-0.32 * F3</f>
        <v>0.82313828806225442</v>
      </c>
      <c r="Q3" s="4">
        <f>MIN(1.087*(N3+6)^-0.65 * F3, 0.17*F3)</f>
        <v>1.4410603033981801</v>
      </c>
      <c r="R3" s="4">
        <f>Q3/L3</f>
        <v>6.0108408471232777E-3</v>
      </c>
      <c r="S3" s="4">
        <f t="shared" ref="S3:S34" si="1">INDEX($Q$3:$Q$140, MATCH(MIN($R$3:$R$140),$R$3:$R$140,0))</f>
        <v>0.61608576198424669</v>
      </c>
      <c r="T3" s="2">
        <f t="shared" ref="T3:T34" si="2">INDEX($L$3:$L$140, MATCH(MIN($R$3:$R$140),$R$3:$R$140,0))</f>
        <v>1004.3435484280518</v>
      </c>
      <c r="U3" s="6">
        <f>S3*L3/T3</f>
        <v>0.14706380688835219</v>
      </c>
      <c r="V3" s="4">
        <f>U3/P3</f>
        <v>0.17866233295325665</v>
      </c>
      <c r="W3" s="4">
        <f>POWER(V3*(1.9-0.9*V3),0.3)</f>
        <v>0.70423085691607457</v>
      </c>
      <c r="X3" s="3">
        <f>0.6*A3*G3*E3*(1+0.5*SIN(N3*PI()/180)^1.5)*W3/1000</f>
        <v>15.737525318438536</v>
      </c>
      <c r="Y3" s="8">
        <f>X3*COS(N3*PI()/180)</f>
        <v>15.097928069031642</v>
      </c>
      <c r="Z3" s="3">
        <f>X3*SIN(N3*PI()/180)</f>
        <v>4.4409763758480407</v>
      </c>
      <c r="AA3" s="3">
        <f>L3*X3</f>
        <v>3772.9701362795795</v>
      </c>
      <c r="AB3" s="3">
        <f>(MAX(D3:D95)*E3*G3*MAX(D3:D95)*E3/2)/(MAX(D3:D95)*E3*G3+I3*G3)</f>
        <v>368</v>
      </c>
      <c r="AC3" s="3"/>
      <c r="AD3" s="15"/>
    </row>
    <row r="4" spans="1:30">
      <c r="A4" s="7">
        <f>A3</f>
        <v>490</v>
      </c>
      <c r="B4" s="3">
        <f>B3</f>
        <v>614.65329399999996</v>
      </c>
      <c r="D4" s="1">
        <f>D3+1</f>
        <v>2</v>
      </c>
      <c r="E4" s="2">
        <v>10</v>
      </c>
      <c r="F4" s="20">
        <v>10</v>
      </c>
      <c r="G4" s="2">
        <f t="shared" ref="G4" si="3">F4/SQRT(2)</f>
        <v>7.0710678118654746</v>
      </c>
      <c r="H4" s="20">
        <f t="shared" si="0"/>
        <v>537</v>
      </c>
      <c r="I4" s="2">
        <f>I3</f>
        <v>230</v>
      </c>
      <c r="J4" s="20">
        <f t="shared" ref="J4" si="4">H4-B4</f>
        <v>-77.65329399999996</v>
      </c>
      <c r="K4" s="2">
        <f t="shared" ref="K4" si="5">I4</f>
        <v>230</v>
      </c>
      <c r="L4" s="2">
        <f t="shared" ref="L4" si="6">SQRT(J4^2+K4^2)</f>
        <v>242.75509071706495</v>
      </c>
      <c r="M4" s="2">
        <f t="shared" ref="M4" si="7">ABS(J4/K4)</f>
        <v>0.33762301739130418</v>
      </c>
      <c r="N4" s="2">
        <f t="shared" ref="N4" si="8">ATAN(M4)*180/PI()</f>
        <v>18.655866139858826</v>
      </c>
      <c r="P4" s="4">
        <f t="shared" ref="P4" si="9">0.209 * (N4+2)^-0.32 * F4</f>
        <v>0.79310811718718688</v>
      </c>
      <c r="Q4" s="4">
        <f t="shared" ref="Q4" si="10">MIN(1.087*(N4+6)^-0.65 * F4, 0.17*F4)</f>
        <v>1.3535720337203347</v>
      </c>
      <c r="R4" s="4">
        <f t="shared" ref="R4" si="11">Q4/L4</f>
        <v>5.575874968150288E-3</v>
      </c>
      <c r="S4" s="4">
        <f t="shared" si="1"/>
        <v>0.61608576198424669</v>
      </c>
      <c r="T4" s="2">
        <f t="shared" si="2"/>
        <v>1004.3435484280518</v>
      </c>
      <c r="U4" s="6">
        <f t="shared" ref="U4" si="12">S4*L4/T4</f>
        <v>0.14891115223875187</v>
      </c>
      <c r="V4" s="4">
        <f t="shared" ref="V4" si="13">U4/P4</f>
        <v>0.18775643447815871</v>
      </c>
      <c r="W4" s="4">
        <f t="shared" ref="W4" si="14">POWER(V4*(1.9-0.9*V4),0.3)</f>
        <v>0.71378762613841107</v>
      </c>
      <c r="X4" s="3">
        <f t="shared" ref="X4" si="15">0.6*A4*G4*E4*(1+0.5*SIN(N4*PI()/180)^1.5)*W4/1000</f>
        <v>16.18121570475293</v>
      </c>
      <c r="Y4" s="8">
        <f t="shared" ref="Y4" si="16">X4*COS(N4*PI()/180)</f>
        <v>15.331005422377951</v>
      </c>
      <c r="Z4" s="3">
        <f t="shared" ref="Z4" si="17">X4*SIN(N4*PI()/180)</f>
        <v>5.1761003103456895</v>
      </c>
      <c r="AA4" s="3">
        <f t="shared" ref="AA4" si="18">L4*X4</f>
        <v>3928.0724863196933</v>
      </c>
      <c r="AB4" s="3"/>
      <c r="AC4" s="3"/>
      <c r="AD4" s="15"/>
    </row>
    <row r="5" spans="1:30">
      <c r="A5" s="7">
        <f t="shared" ref="A5:A68" si="19">A4</f>
        <v>490</v>
      </c>
      <c r="B5" s="3">
        <f t="shared" ref="B5:B68" si="20">B4</f>
        <v>614.65329399999996</v>
      </c>
      <c r="D5" s="1">
        <f t="shared" ref="D5:D11" si="21">D4+1</f>
        <v>3</v>
      </c>
      <c r="E5" s="2">
        <v>10</v>
      </c>
      <c r="F5" s="20">
        <v>10</v>
      </c>
      <c r="G5" s="2">
        <f t="shared" ref="G5:G48" si="22">F5/SQRT(2)</f>
        <v>7.0710678118654746</v>
      </c>
      <c r="H5" s="20">
        <f t="shared" si="0"/>
        <v>527</v>
      </c>
      <c r="I5" s="2">
        <f t="shared" ref="I5:I48" si="23">I4</f>
        <v>230</v>
      </c>
      <c r="J5" s="20">
        <f t="shared" ref="J5:J48" si="24">H5-B5</f>
        <v>-87.65329399999996</v>
      </c>
      <c r="K5" s="2">
        <f t="shared" ref="K5:K48" si="25">I5</f>
        <v>230</v>
      </c>
      <c r="L5" s="2">
        <f t="shared" ref="L5:L7" si="26">SQRT(J5^2+K5^2)</f>
        <v>246.1363442262244</v>
      </c>
      <c r="M5" s="2">
        <f t="shared" ref="M5:M7" si="27">ABS(J5/K5)</f>
        <v>0.38110127826086937</v>
      </c>
      <c r="N5" s="2">
        <f t="shared" ref="N5:N7" si="28">ATAN(M5)*180/PI()</f>
        <v>20.86190767770216</v>
      </c>
      <c r="P5" s="4">
        <f t="shared" ref="P5:P7" si="29">0.209 * (N5+2)^-0.32 * F5</f>
        <v>0.76776851215356579</v>
      </c>
      <c r="Q5" s="4">
        <f t="shared" ref="Q5:Q7" si="30">MIN(1.087*(N5+6)^-0.65 * F5, 0.17*F5)</f>
        <v>1.2802376357278011</v>
      </c>
      <c r="R5" s="4">
        <f t="shared" ref="R5:R7" si="31">Q5/L5</f>
        <v>5.2013352183013341E-3</v>
      </c>
      <c r="S5" s="4">
        <f t="shared" si="1"/>
        <v>0.61608576198424669</v>
      </c>
      <c r="T5" s="2">
        <f t="shared" si="2"/>
        <v>1004.3435484280518</v>
      </c>
      <c r="U5" s="6">
        <f t="shared" ref="U5:U7" si="32">S5*L5/T5</f>
        <v>0.15098528528606706</v>
      </c>
      <c r="V5" s="4">
        <f t="shared" ref="V5:V7" si="33">U5/P5</f>
        <v>0.1966546985139547</v>
      </c>
      <c r="W5" s="4">
        <f t="shared" ref="W5:W7" si="34">POWER(V5*(1.9-0.9*V5),0.3)</f>
        <v>0.72276596898298429</v>
      </c>
      <c r="X5" s="3">
        <f t="shared" ref="X5:X7" si="35">0.6*A5*G5*E5*(1+0.5*SIN(N5*PI()/180)^1.5)*W5/1000</f>
        <v>16.6221108894722</v>
      </c>
      <c r="Y5" s="8">
        <f t="shared" ref="Y5:Y7" si="36">X5*COS(N5*PI()/180)</f>
        <v>15.532389239781674</v>
      </c>
      <c r="Z5" s="3">
        <f t="shared" ref="Z5:Z7" si="37">X5*SIN(N5*PI()/180)</f>
        <v>5.9194133937261695</v>
      </c>
      <c r="AA5" s="3">
        <f t="shared" ref="AA5:AA7" si="38">L5*X5</f>
        <v>4091.3056076576022</v>
      </c>
      <c r="AB5" s="14" t="s">
        <v>170</v>
      </c>
      <c r="AC5" s="3"/>
      <c r="AD5" s="15"/>
    </row>
    <row r="6" spans="1:30">
      <c r="A6" s="7">
        <f t="shared" si="19"/>
        <v>490</v>
      </c>
      <c r="B6" s="3">
        <f t="shared" si="20"/>
        <v>614.65329399999996</v>
      </c>
      <c r="D6" s="1">
        <f t="shared" si="21"/>
        <v>4</v>
      </c>
      <c r="E6" s="2">
        <v>10</v>
      </c>
      <c r="F6" s="20">
        <v>10</v>
      </c>
      <c r="G6" s="2">
        <f t="shared" si="22"/>
        <v>7.0710678118654746</v>
      </c>
      <c r="H6" s="20">
        <f t="shared" si="0"/>
        <v>517</v>
      </c>
      <c r="I6" s="2">
        <f t="shared" si="23"/>
        <v>230</v>
      </c>
      <c r="J6" s="20">
        <f t="shared" si="24"/>
        <v>-97.65329399999996</v>
      </c>
      <c r="K6" s="2">
        <f t="shared" si="25"/>
        <v>230</v>
      </c>
      <c r="L6" s="2">
        <f t="shared" si="26"/>
        <v>249.87229904303203</v>
      </c>
      <c r="M6" s="2">
        <f t="shared" si="27"/>
        <v>0.42457953913043461</v>
      </c>
      <c r="N6" s="2">
        <f t="shared" si="28"/>
        <v>23.005083937298185</v>
      </c>
      <c r="P6" s="4">
        <f t="shared" si="29"/>
        <v>0.74606595902544348</v>
      </c>
      <c r="Q6" s="4">
        <f t="shared" si="30"/>
        <v>1.2179272900337412</v>
      </c>
      <c r="R6" s="4">
        <f t="shared" si="31"/>
        <v>4.8741989196009064E-3</v>
      </c>
      <c r="S6" s="4">
        <f t="shared" si="1"/>
        <v>0.61608576198424669</v>
      </c>
      <c r="T6" s="2">
        <f t="shared" si="2"/>
        <v>1004.3435484280518</v>
      </c>
      <c r="U6" s="6">
        <f t="shared" si="32"/>
        <v>0.15327699968364952</v>
      </c>
      <c r="V6" s="4">
        <f t="shared" si="33"/>
        <v>0.20544698203878545</v>
      </c>
      <c r="W6" s="4">
        <f t="shared" si="34"/>
        <v>0.73130171243395758</v>
      </c>
      <c r="X6" s="3">
        <f t="shared" si="35"/>
        <v>17.060158859794594</v>
      </c>
      <c r="Y6" s="8">
        <f t="shared" si="36"/>
        <v>15.70336749123603</v>
      </c>
      <c r="Z6" s="3">
        <f t="shared" si="37"/>
        <v>6.6673285322248406</v>
      </c>
      <c r="AA6" s="3">
        <f t="shared" si="38"/>
        <v>4262.8611163362275</v>
      </c>
      <c r="AB6" s="14" t="s">
        <v>4</v>
      </c>
      <c r="AC6" s="3"/>
      <c r="AD6" s="15"/>
    </row>
    <row r="7" spans="1:30">
      <c r="A7" s="7">
        <f t="shared" si="19"/>
        <v>490</v>
      </c>
      <c r="B7" s="3">
        <f t="shared" si="20"/>
        <v>614.65329399999996</v>
      </c>
      <c r="D7" s="1">
        <f t="shared" si="21"/>
        <v>5</v>
      </c>
      <c r="E7" s="2">
        <v>10</v>
      </c>
      <c r="F7" s="20">
        <v>10</v>
      </c>
      <c r="G7" s="2">
        <f t="shared" si="22"/>
        <v>7.0710678118654746</v>
      </c>
      <c r="H7" s="20">
        <f t="shared" si="0"/>
        <v>507</v>
      </c>
      <c r="I7" s="2">
        <f t="shared" si="23"/>
        <v>230</v>
      </c>
      <c r="J7" s="20">
        <f t="shared" si="24"/>
        <v>-107.65329399999996</v>
      </c>
      <c r="K7" s="2">
        <f t="shared" si="25"/>
        <v>230</v>
      </c>
      <c r="L7" s="2">
        <f t="shared" si="26"/>
        <v>253.94730104698974</v>
      </c>
      <c r="M7" s="2">
        <f t="shared" si="27"/>
        <v>0.4680577999999998</v>
      </c>
      <c r="N7" s="2">
        <f t="shared" si="28"/>
        <v>25.082310639612334</v>
      </c>
      <c r="P7" s="4">
        <f t="shared" si="29"/>
        <v>0.72725523688646754</v>
      </c>
      <c r="Q7" s="4">
        <f t="shared" si="30"/>
        <v>1.1643831213034859</v>
      </c>
      <c r="R7" s="4">
        <f t="shared" si="31"/>
        <v>4.5851368236752062E-3</v>
      </c>
      <c r="S7" s="4">
        <f t="shared" si="1"/>
        <v>0.61608576198424669</v>
      </c>
      <c r="T7" s="2">
        <f t="shared" si="2"/>
        <v>1004.3435484280518</v>
      </c>
      <c r="U7" s="6">
        <f t="shared" si="32"/>
        <v>0.1557766928599785</v>
      </c>
      <c r="V7" s="4">
        <f t="shared" si="33"/>
        <v>0.21419810399288597</v>
      </c>
      <c r="W7" s="4">
        <f t="shared" si="34"/>
        <v>0.7394889075014397</v>
      </c>
      <c r="X7" s="3">
        <f t="shared" si="35"/>
        <v>17.494770892733133</v>
      </c>
      <c r="Y7" s="8">
        <f t="shared" si="36"/>
        <v>15.845009136695129</v>
      </c>
      <c r="Z7" s="3">
        <f t="shared" si="37"/>
        <v>7.4163801175014177</v>
      </c>
      <c r="AA7" s="3">
        <f t="shared" si="38"/>
        <v>4442.7498506450138</v>
      </c>
      <c r="AB7" s="3">
        <f>MAX(D3:D95)*E3/(2*K3)</f>
        <v>2</v>
      </c>
      <c r="AC7" s="3"/>
      <c r="AD7" s="15"/>
    </row>
    <row r="8" spans="1:30">
      <c r="A8" s="7">
        <f t="shared" si="19"/>
        <v>490</v>
      </c>
      <c r="B8" s="3">
        <f t="shared" si="20"/>
        <v>614.65329399999996</v>
      </c>
      <c r="D8" s="1">
        <f t="shared" si="21"/>
        <v>6</v>
      </c>
      <c r="E8" s="2">
        <v>10</v>
      </c>
      <c r="F8" s="20">
        <v>10</v>
      </c>
      <c r="G8" s="2">
        <f t="shared" si="22"/>
        <v>7.0710678118654746</v>
      </c>
      <c r="H8" s="20">
        <f t="shared" si="0"/>
        <v>497</v>
      </c>
      <c r="I8" s="2">
        <f t="shared" si="23"/>
        <v>230</v>
      </c>
      <c r="J8" s="20">
        <f t="shared" si="24"/>
        <v>-117.65329399999996</v>
      </c>
      <c r="K8" s="2">
        <f t="shared" si="25"/>
        <v>230</v>
      </c>
      <c r="L8" s="2">
        <f t="shared" ref="L8:L48" si="39">SQRT(J8^2+K8^2)</f>
        <v>258.34530688412059</v>
      </c>
      <c r="M8" s="2">
        <f t="shared" ref="M8:M48" si="40">ABS(J8/K8)</f>
        <v>0.51153606086956505</v>
      </c>
      <c r="N8" s="2">
        <f t="shared" ref="N8:N48" si="41">ATAN(M8)*180/PI()</f>
        <v>27.091381671016016</v>
      </c>
      <c r="P8" s="4">
        <f t="shared" ref="P8:P48" si="42">0.209 * (N8+2)^-0.32 * F8</f>
        <v>0.71079063099335538</v>
      </c>
      <c r="Q8" s="4">
        <f t="shared" ref="Q8:Q48" si="43">MIN(1.087*(N8+6)^-0.65 * F8, 0.17*F8)</f>
        <v>1.1179306380755261</v>
      </c>
      <c r="R8" s="4">
        <f t="shared" ref="R8:R11" si="44">Q8/L8</f>
        <v>4.3272728719510583E-3</v>
      </c>
      <c r="S8" s="4">
        <f t="shared" si="1"/>
        <v>0.61608576198424669</v>
      </c>
      <c r="T8" s="2">
        <f t="shared" si="2"/>
        <v>1004.3435484280518</v>
      </c>
      <c r="U8" s="6">
        <f t="shared" ref="U8:U11" si="45">S8*L8/T8</f>
        <v>0.15847452347941224</v>
      </c>
      <c r="V8" s="4">
        <f t="shared" ref="V8:V11" si="46">U8/P8</f>
        <v>0.22295527905022947</v>
      </c>
      <c r="W8" s="4">
        <f t="shared" ref="W8:W11" si="47">POWER(V8*(1.9-0.9*V8),0.3)</f>
        <v>0.74739369718460991</v>
      </c>
      <c r="X8" s="3">
        <f t="shared" ref="X8:X11" si="48">0.6*A8*G8*E8*(1+0.5*SIN(N8*PI()/180)^1.5)*W8/1000</f>
        <v>17.925097345694269</v>
      </c>
      <c r="Y8" s="8">
        <f t="shared" ref="Y8:Y11" si="49">X8*COS(N8*PI()/180)</f>
        <v>15.9583792685614</v>
      </c>
      <c r="Z8" s="3">
        <f t="shared" ref="Z8:Z11" si="50">X8*SIN(N8*PI()/180)</f>
        <v>8.1632864689024291</v>
      </c>
      <c r="AA8" s="3">
        <f t="shared" ref="AA8:AA11" si="51">L8*X8</f>
        <v>4630.864774701121</v>
      </c>
      <c r="AB8" s="3">
        <f>MAX(D3:D95)*E3</f>
        <v>920</v>
      </c>
      <c r="AC8" s="3"/>
      <c r="AD8" s="15"/>
    </row>
    <row r="9" spans="1:30">
      <c r="A9" s="7">
        <f t="shared" si="19"/>
        <v>490</v>
      </c>
      <c r="B9" s="3">
        <f t="shared" si="20"/>
        <v>614.65329399999996</v>
      </c>
      <c r="D9" s="1">
        <f t="shared" si="21"/>
        <v>7</v>
      </c>
      <c r="E9" s="2">
        <v>10</v>
      </c>
      <c r="F9" s="20">
        <v>10</v>
      </c>
      <c r="G9" s="2">
        <f t="shared" si="22"/>
        <v>7.0710678118654746</v>
      </c>
      <c r="H9" s="20">
        <f t="shared" si="0"/>
        <v>487</v>
      </c>
      <c r="I9" s="2">
        <f t="shared" si="23"/>
        <v>230</v>
      </c>
      <c r="J9" s="20">
        <f t="shared" si="24"/>
        <v>-127.65329399999996</v>
      </c>
      <c r="K9" s="2">
        <f t="shared" si="25"/>
        <v>230</v>
      </c>
      <c r="L9" s="2">
        <f t="shared" si="39"/>
        <v>263.05011588868467</v>
      </c>
      <c r="M9" s="2">
        <f t="shared" si="40"/>
        <v>0.55501432173913023</v>
      </c>
      <c r="N9" s="2">
        <f t="shared" si="41"/>
        <v>29.030902017760567</v>
      </c>
      <c r="P9" s="4">
        <f t="shared" si="42"/>
        <v>0.69626101378476668</v>
      </c>
      <c r="Q9" s="4">
        <f t="shared" si="43"/>
        <v>1.0772988244858215</v>
      </c>
      <c r="R9" s="4">
        <f t="shared" si="44"/>
        <v>4.095412848788494E-3</v>
      </c>
      <c r="S9" s="4">
        <f t="shared" si="1"/>
        <v>0.61608576198424669</v>
      </c>
      <c r="T9" s="2">
        <f t="shared" si="2"/>
        <v>1004.3435484280518</v>
      </c>
      <c r="U9" s="6">
        <f t="shared" si="45"/>
        <v>0.1613605537079171</v>
      </c>
      <c r="V9" s="4">
        <f t="shared" si="46"/>
        <v>0.23175296406556817</v>
      </c>
      <c r="W9" s="4">
        <f t="shared" si="47"/>
        <v>0.75506303142695008</v>
      </c>
      <c r="X9" s="3">
        <f t="shared" si="48"/>
        <v>18.350195307498005</v>
      </c>
      <c r="Y9" s="8">
        <f t="shared" si="49"/>
        <v>16.044641936255815</v>
      </c>
      <c r="Z9" s="3">
        <f t="shared" si="50"/>
        <v>8.9050060617982254</v>
      </c>
      <c r="AA9" s="3">
        <f t="shared" si="51"/>
        <v>4827.0210022173478</v>
      </c>
      <c r="AB9" s="3"/>
      <c r="AC9" s="3"/>
      <c r="AD9" s="15"/>
    </row>
    <row r="10" spans="1:30">
      <c r="A10" s="7">
        <f t="shared" si="19"/>
        <v>490</v>
      </c>
      <c r="B10" s="3">
        <f t="shared" si="20"/>
        <v>614.65329399999996</v>
      </c>
      <c r="D10" s="1">
        <f t="shared" si="21"/>
        <v>8</v>
      </c>
      <c r="E10" s="2">
        <v>10</v>
      </c>
      <c r="F10" s="20">
        <v>10</v>
      </c>
      <c r="G10" s="2">
        <f t="shared" si="22"/>
        <v>7.0710678118654746</v>
      </c>
      <c r="H10" s="20">
        <f t="shared" si="0"/>
        <v>477</v>
      </c>
      <c r="I10" s="2">
        <f t="shared" si="23"/>
        <v>230</v>
      </c>
      <c r="J10" s="20">
        <f t="shared" si="24"/>
        <v>-137.65329399999996</v>
      </c>
      <c r="K10" s="2">
        <f t="shared" si="25"/>
        <v>230</v>
      </c>
      <c r="L10" s="2">
        <f t="shared" si="39"/>
        <v>268.04557326889477</v>
      </c>
      <c r="M10" s="2">
        <f t="shared" si="40"/>
        <v>0.59849258260869542</v>
      </c>
      <c r="N10" s="2">
        <f t="shared" si="41"/>
        <v>30.900207932346426</v>
      </c>
      <c r="P10" s="4">
        <f t="shared" si="42"/>
        <v>0.68334924737603953</v>
      </c>
      <c r="Q10" s="4">
        <f t="shared" si="43"/>
        <v>1.0415036957478787</v>
      </c>
      <c r="R10" s="4">
        <f t="shared" si="44"/>
        <v>3.8855470845738436E-3</v>
      </c>
      <c r="S10" s="4">
        <f t="shared" si="1"/>
        <v>0.61608576198424669</v>
      </c>
      <c r="T10" s="2">
        <f t="shared" si="2"/>
        <v>1004.3435484280518</v>
      </c>
      <c r="U10" s="6">
        <f t="shared" si="45"/>
        <v>0.16442487385152088</v>
      </c>
      <c r="V10" s="4">
        <f t="shared" si="46"/>
        <v>0.24061616293994351</v>
      </c>
      <c r="W10" s="4">
        <f t="shared" si="47"/>
        <v>0.76253038469707135</v>
      </c>
      <c r="X10" s="3">
        <f t="shared" si="48"/>
        <v>18.769130869192011</v>
      </c>
      <c r="Y10" s="8">
        <f t="shared" si="49"/>
        <v>16.10509752975322</v>
      </c>
      <c r="Z10" s="3">
        <f t="shared" si="50"/>
        <v>9.6387814137469263</v>
      </c>
      <c r="AA10" s="3">
        <f t="shared" si="51"/>
        <v>5030.9824435914816</v>
      </c>
      <c r="AB10" s="76" t="s">
        <v>164</v>
      </c>
      <c r="AC10" s="3"/>
      <c r="AD10" s="15"/>
    </row>
    <row r="11" spans="1:30">
      <c r="A11" s="7">
        <f t="shared" si="19"/>
        <v>490</v>
      </c>
      <c r="B11" s="3">
        <f t="shared" si="20"/>
        <v>614.65329399999996</v>
      </c>
      <c r="D11" s="1">
        <f t="shared" si="21"/>
        <v>9</v>
      </c>
      <c r="E11" s="2">
        <v>10</v>
      </c>
      <c r="F11" s="20">
        <v>10</v>
      </c>
      <c r="G11" s="2">
        <f t="shared" si="22"/>
        <v>7.0710678118654746</v>
      </c>
      <c r="H11" s="20">
        <f t="shared" si="0"/>
        <v>467</v>
      </c>
      <c r="I11" s="2">
        <f t="shared" si="23"/>
        <v>230</v>
      </c>
      <c r="J11" s="20">
        <f t="shared" si="24"/>
        <v>-147.65329399999996</v>
      </c>
      <c r="K11" s="2">
        <f t="shared" si="25"/>
        <v>230</v>
      </c>
      <c r="L11" s="2">
        <f t="shared" si="39"/>
        <v>273.31574273914487</v>
      </c>
      <c r="M11" s="2">
        <f t="shared" si="40"/>
        <v>0.64197084347826072</v>
      </c>
      <c r="N11" s="2">
        <f t="shared" si="41"/>
        <v>32.699279951322865</v>
      </c>
      <c r="P11" s="4">
        <f t="shared" si="42"/>
        <v>0.67180578304254346</v>
      </c>
      <c r="Q11" s="4">
        <f t="shared" si="43"/>
        <v>1.0097704775356</v>
      </c>
      <c r="R11" s="4">
        <f t="shared" si="44"/>
        <v>3.6945199987961706E-3</v>
      </c>
      <c r="S11" s="4">
        <f t="shared" si="1"/>
        <v>0.61608576198424669</v>
      </c>
      <c r="T11" s="2">
        <f t="shared" si="2"/>
        <v>1004.3435484280518</v>
      </c>
      <c r="U11" s="6">
        <f t="shared" si="45"/>
        <v>0.16765770825260504</v>
      </c>
      <c r="V11" s="4">
        <f t="shared" si="46"/>
        <v>0.24956276424608834</v>
      </c>
      <c r="W11" s="4">
        <f t="shared" si="47"/>
        <v>0.76981963679727616</v>
      </c>
      <c r="X11" s="3">
        <f t="shared" si="48"/>
        <v>19.181039885411032</v>
      </c>
      <c r="Y11" s="8">
        <f t="shared" si="49"/>
        <v>16.141182097421467</v>
      </c>
      <c r="Z11" s="3">
        <f t="shared" si="50"/>
        <v>10.362168285817864</v>
      </c>
      <c r="AA11" s="3">
        <f t="shared" si="51"/>
        <v>5242.480162790278</v>
      </c>
      <c r="AB11" s="14" t="s">
        <v>4</v>
      </c>
      <c r="AC11" s="3"/>
      <c r="AD11" s="15"/>
    </row>
    <row r="12" spans="1:30">
      <c r="A12" s="7">
        <f t="shared" ref="A12:A16" si="52">A11</f>
        <v>490</v>
      </c>
      <c r="B12" s="3">
        <f t="shared" ref="B12:B16" si="53">B11</f>
        <v>614.65329399999996</v>
      </c>
      <c r="D12" s="1">
        <f t="shared" ref="D12:D16" si="54">D11+1</f>
        <v>10</v>
      </c>
      <c r="E12" s="2">
        <v>10</v>
      </c>
      <c r="F12" s="20">
        <v>10</v>
      </c>
      <c r="G12" s="2">
        <f t="shared" ref="G12:G16" si="55">F12/SQRT(2)</f>
        <v>7.0710678118654746</v>
      </c>
      <c r="H12" s="20">
        <f t="shared" si="0"/>
        <v>457</v>
      </c>
      <c r="I12" s="2">
        <f t="shared" ref="I12:I16" si="56">I11</f>
        <v>230</v>
      </c>
      <c r="J12" s="20">
        <f t="shared" ref="J12:J16" si="57">H12-B12</f>
        <v>-157.65329399999996</v>
      </c>
      <c r="K12" s="2">
        <f t="shared" ref="K12:K16" si="58">I12</f>
        <v>230</v>
      </c>
      <c r="L12" s="2">
        <f t="shared" ref="L12:L16" si="59">SQRT(J12^2+K12^2)</f>
        <v>278.84504856470096</v>
      </c>
      <c r="M12" s="2">
        <f t="shared" ref="M12:M16" si="60">ABS(J12/K12)</f>
        <v>0.68544910434782591</v>
      </c>
      <c r="N12" s="2">
        <f t="shared" ref="N12:N16" si="61">ATAN(M12)*180/PI()</f>
        <v>34.428653565238243</v>
      </c>
      <c r="P12" s="4">
        <f t="shared" ref="P12:P16" si="62">0.209 * (N12+2)^-0.32 * F12</f>
        <v>0.66143091200847404</v>
      </c>
      <c r="Q12" s="4">
        <f t="shared" ref="Q12:Q16" si="63">MIN(1.087*(N12+6)^-0.65 * F12, 0.17*F12)</f>
        <v>0.98148013390107913</v>
      </c>
      <c r="R12" s="4">
        <f t="shared" ref="R12:R16" si="64">Q12/L12</f>
        <v>3.5198047767139905E-3</v>
      </c>
      <c r="S12" s="4">
        <f t="shared" si="1"/>
        <v>0.61608576198424669</v>
      </c>
      <c r="T12" s="2">
        <f t="shared" si="2"/>
        <v>1004.3435484280518</v>
      </c>
      <c r="U12" s="6">
        <f t="shared" ref="U12:U16" si="65">S12*L12/T12</f>
        <v>0.17104950242314895</v>
      </c>
      <c r="V12" s="4">
        <f t="shared" ref="V12:V16" si="66">U12/P12</f>
        <v>0.25860524405148683</v>
      </c>
      <c r="W12" s="4">
        <f t="shared" ref="W12:W16" si="67">POWER(V12*(1.9-0.9*V12),0.3)</f>
        <v>0.77694777743631294</v>
      </c>
      <c r="X12" s="3">
        <f t="shared" ref="X12:X16" si="68">0.6*A12*G12*E12*(1+0.5*SIN(N12*PI()/180)^1.5)*W12/1000</f>
        <v>19.58516158065958</v>
      </c>
      <c r="Y12" s="8">
        <f t="shared" ref="Y12:Y16" si="69">X12*COS(N12*PI()/180)</f>
        <v>16.154445584521454</v>
      </c>
      <c r="Z12" s="3">
        <f t="shared" ref="Z12:Z16" si="70">X12*SIN(N12*PI()/180)</f>
        <v>11.073050257145921</v>
      </c>
      <c r="AA12" s="3">
        <f t="shared" ref="AA12:AA16" si="71">L12*X12</f>
        <v>5461.2253321065364</v>
      </c>
      <c r="AB12" s="77">
        <v>3</v>
      </c>
      <c r="AC12" s="3"/>
      <c r="AD12" s="15"/>
    </row>
    <row r="13" spans="1:30">
      <c r="A13" s="7">
        <f t="shared" si="52"/>
        <v>490</v>
      </c>
      <c r="B13" s="3">
        <f t="shared" si="53"/>
        <v>614.65329399999996</v>
      </c>
      <c r="D13" s="1">
        <f t="shared" si="54"/>
        <v>11</v>
      </c>
      <c r="E13" s="2">
        <v>10</v>
      </c>
      <c r="F13" s="20">
        <v>10</v>
      </c>
      <c r="G13" s="2">
        <f t="shared" si="55"/>
        <v>7.0710678118654746</v>
      </c>
      <c r="H13" s="20">
        <f t="shared" si="0"/>
        <v>447</v>
      </c>
      <c r="I13" s="2">
        <f t="shared" si="56"/>
        <v>230</v>
      </c>
      <c r="J13" s="20">
        <f t="shared" si="57"/>
        <v>-167.65329399999996</v>
      </c>
      <c r="K13" s="2">
        <f t="shared" si="58"/>
        <v>230</v>
      </c>
      <c r="L13" s="2">
        <f t="shared" si="59"/>
        <v>284.61838835368741</v>
      </c>
      <c r="M13" s="2">
        <f t="shared" si="60"/>
        <v>0.7289273652173911</v>
      </c>
      <c r="N13" s="2">
        <f t="shared" si="61"/>
        <v>36.089331386251807</v>
      </c>
      <c r="P13" s="4">
        <f t="shared" si="62"/>
        <v>0.65206248444886072</v>
      </c>
      <c r="Q13" s="4">
        <f t="shared" si="63"/>
        <v>0.95613172083118769</v>
      </c>
      <c r="R13" s="4">
        <f t="shared" si="64"/>
        <v>3.3593462683901829E-3</v>
      </c>
      <c r="S13" s="4">
        <f t="shared" si="1"/>
        <v>0.61608576198424669</v>
      </c>
      <c r="T13" s="2">
        <f t="shared" si="2"/>
        <v>1004.3435484280518</v>
      </c>
      <c r="U13" s="6">
        <f t="shared" si="65"/>
        <v>0.17459099223374089</v>
      </c>
      <c r="V13" s="4">
        <f t="shared" si="66"/>
        <v>0.2677519354319387</v>
      </c>
      <c r="W13" s="4">
        <f t="shared" si="67"/>
        <v>0.78392682910288214</v>
      </c>
      <c r="X13" s="3">
        <f t="shared" si="68"/>
        <v>19.980854180936355</v>
      </c>
      <c r="Y13" s="8">
        <f t="shared" si="69"/>
        <v>16.146519865415517</v>
      </c>
      <c r="Z13" s="3">
        <f t="shared" si="70"/>
        <v>11.769640182927597</v>
      </c>
      <c r="AA13" s="3">
        <f t="shared" si="71"/>
        <v>5686.9185149081422</v>
      </c>
      <c r="AB13" s="77">
        <f>AB12*K3*2</f>
        <v>1380</v>
      </c>
      <c r="AC13" s="3"/>
      <c r="AD13" s="15"/>
    </row>
    <row r="14" spans="1:30">
      <c r="A14" s="7">
        <f t="shared" si="52"/>
        <v>490</v>
      </c>
      <c r="B14" s="3">
        <f t="shared" si="53"/>
        <v>614.65329399999996</v>
      </c>
      <c r="D14" s="1">
        <f t="shared" si="54"/>
        <v>12</v>
      </c>
      <c r="E14" s="2">
        <v>10</v>
      </c>
      <c r="F14" s="20">
        <v>10</v>
      </c>
      <c r="G14" s="2">
        <f t="shared" si="55"/>
        <v>7.0710678118654746</v>
      </c>
      <c r="H14" s="20">
        <f t="shared" si="0"/>
        <v>437</v>
      </c>
      <c r="I14" s="2">
        <f t="shared" si="56"/>
        <v>230</v>
      </c>
      <c r="J14" s="20">
        <f t="shared" si="57"/>
        <v>-177.65329399999996</v>
      </c>
      <c r="K14" s="2">
        <f t="shared" si="58"/>
        <v>230</v>
      </c>
      <c r="L14" s="2">
        <f t="shared" si="59"/>
        <v>290.62121888989873</v>
      </c>
      <c r="M14" s="2">
        <f t="shared" si="60"/>
        <v>0.7724056260869564</v>
      </c>
      <c r="N14" s="2">
        <f t="shared" si="61"/>
        <v>37.682699688216161</v>
      </c>
      <c r="P14" s="4">
        <f t="shared" si="62"/>
        <v>0.64356719559714326</v>
      </c>
      <c r="Q14" s="4">
        <f t="shared" si="63"/>
        <v>0.9333153057036172</v>
      </c>
      <c r="R14" s="4">
        <f t="shared" si="64"/>
        <v>3.2114492853228377E-3</v>
      </c>
      <c r="S14" s="4">
        <f t="shared" si="1"/>
        <v>0.61608576198424669</v>
      </c>
      <c r="T14" s="2">
        <f t="shared" si="2"/>
        <v>1004.3435484280518</v>
      </c>
      <c r="U14" s="6">
        <f t="shared" si="65"/>
        <v>0.17827325656525611</v>
      </c>
      <c r="V14" s="4">
        <f t="shared" si="66"/>
        <v>0.27700799199350529</v>
      </c>
      <c r="W14" s="4">
        <f t="shared" si="67"/>
        <v>0.79076523418595823</v>
      </c>
      <c r="X14" s="3">
        <f t="shared" si="68"/>
        <v>20.367598718016275</v>
      </c>
      <c r="Y14" s="8">
        <f t="shared" si="69"/>
        <v>16.119083537800712</v>
      </c>
      <c r="Z14" s="3">
        <f t="shared" si="70"/>
        <v>12.450470811962909</v>
      </c>
      <c r="AA14" s="3">
        <f t="shared" si="71"/>
        <v>5919.2563652902281</v>
      </c>
      <c r="AB14" s="3"/>
      <c r="AC14" s="3"/>
      <c r="AD14" s="15"/>
    </row>
    <row r="15" spans="1:30" hidden="1">
      <c r="A15" s="7">
        <f t="shared" si="52"/>
        <v>490</v>
      </c>
      <c r="B15" s="3">
        <f t="shared" si="53"/>
        <v>614.65329399999996</v>
      </c>
      <c r="D15" s="1">
        <f t="shared" si="54"/>
        <v>13</v>
      </c>
      <c r="E15" s="2">
        <v>10</v>
      </c>
      <c r="F15" s="20">
        <v>10</v>
      </c>
      <c r="G15" s="2">
        <f t="shared" si="55"/>
        <v>7.0710678118654746</v>
      </c>
      <c r="H15" s="20">
        <f t="shared" si="0"/>
        <v>427</v>
      </c>
      <c r="I15" s="2">
        <f t="shared" si="56"/>
        <v>230</v>
      </c>
      <c r="J15" s="20">
        <f t="shared" si="57"/>
        <v>-187.65329399999996</v>
      </c>
      <c r="K15" s="2">
        <f t="shared" si="58"/>
        <v>230</v>
      </c>
      <c r="L15" s="2">
        <f t="shared" si="59"/>
        <v>296.83961788994816</v>
      </c>
      <c r="M15" s="2">
        <f t="shared" si="60"/>
        <v>0.81588388695652159</v>
      </c>
      <c r="N15" s="2">
        <f t="shared" si="61"/>
        <v>39.210451293255872</v>
      </c>
      <c r="P15" s="4">
        <f t="shared" si="62"/>
        <v>0.63583426396227916</v>
      </c>
      <c r="Q15" s="4">
        <f t="shared" si="63"/>
        <v>0.91269211099702419</v>
      </c>
      <c r="R15" s="4">
        <f t="shared" si="64"/>
        <v>3.0746977694042187E-3</v>
      </c>
      <c r="S15" s="4">
        <f t="shared" si="1"/>
        <v>0.61608576198424669</v>
      </c>
      <c r="T15" s="2">
        <f t="shared" si="2"/>
        <v>1004.3435484280518</v>
      </c>
      <c r="U15" s="6">
        <f t="shared" si="65"/>
        <v>0.18208775519200959</v>
      </c>
      <c r="V15" s="4">
        <f t="shared" si="66"/>
        <v>0.28637612898887743</v>
      </c>
      <c r="W15" s="4">
        <f t="shared" si="67"/>
        <v>0.79746886559248609</v>
      </c>
      <c r="X15" s="3">
        <f t="shared" si="68"/>
        <v>20.744995244919838</v>
      </c>
      <c r="Y15" s="8">
        <f t="shared" si="69"/>
        <v>16.073827813983094</v>
      </c>
      <c r="Z15" s="3">
        <f t="shared" si="70"/>
        <v>13.11437711514238</v>
      </c>
      <c r="AA15" s="3">
        <f t="shared" si="71"/>
        <v>6157.9364616307967</v>
      </c>
      <c r="AB15" s="3"/>
      <c r="AC15" s="3"/>
      <c r="AD15" s="15"/>
    </row>
    <row r="16" spans="1:30" hidden="1">
      <c r="A16" s="7">
        <f t="shared" si="52"/>
        <v>490</v>
      </c>
      <c r="B16" s="3">
        <f t="shared" si="53"/>
        <v>614.65329399999996</v>
      </c>
      <c r="D16" s="1">
        <f t="shared" si="54"/>
        <v>14</v>
      </c>
      <c r="E16" s="2">
        <v>10</v>
      </c>
      <c r="F16" s="20">
        <v>10</v>
      </c>
      <c r="G16" s="2">
        <f t="shared" si="55"/>
        <v>7.0710678118654746</v>
      </c>
      <c r="H16" s="20">
        <f t="shared" si="0"/>
        <v>417</v>
      </c>
      <c r="I16" s="2">
        <f t="shared" si="56"/>
        <v>230</v>
      </c>
      <c r="J16" s="20">
        <f t="shared" si="57"/>
        <v>-197.65329399999996</v>
      </c>
      <c r="K16" s="2">
        <f t="shared" si="58"/>
        <v>230</v>
      </c>
      <c r="L16" s="2">
        <f t="shared" si="59"/>
        <v>303.2603248515216</v>
      </c>
      <c r="M16" s="2">
        <f t="shared" si="60"/>
        <v>0.85936214782608678</v>
      </c>
      <c r="N16" s="2">
        <f t="shared" si="61"/>
        <v>40.674515999402239</v>
      </c>
      <c r="P16" s="4">
        <f t="shared" si="62"/>
        <v>0.62877075342041588</v>
      </c>
      <c r="Q16" s="4">
        <f t="shared" si="63"/>
        <v>0.8939797038216204</v>
      </c>
      <c r="R16" s="4">
        <f t="shared" si="64"/>
        <v>2.9478953577568023E-3</v>
      </c>
      <c r="S16" s="4">
        <f t="shared" si="1"/>
        <v>0.61608576198424669</v>
      </c>
      <c r="T16" s="2">
        <f t="shared" si="2"/>
        <v>1004.3435484280518</v>
      </c>
      <c r="U16" s="6">
        <f t="shared" si="65"/>
        <v>0.18602635383894653</v>
      </c>
      <c r="V16" s="4">
        <f t="shared" si="66"/>
        <v>0.29585719887095874</v>
      </c>
      <c r="W16" s="4">
        <f t="shared" si="67"/>
        <v>0.80404176748301404</v>
      </c>
      <c r="X16" s="3">
        <f t="shared" si="68"/>
        <v>21.112754425216174</v>
      </c>
      <c r="Y16" s="8">
        <f t="shared" si="69"/>
        <v>16.012426024331472</v>
      </c>
      <c r="Z16" s="3">
        <f t="shared" si="70"/>
        <v>13.760472820175817</v>
      </c>
      <c r="AA16" s="3">
        <f t="shared" si="71"/>
        <v>6402.6607655014568</v>
      </c>
      <c r="AB16" s="3"/>
      <c r="AC16" s="3"/>
      <c r="AD16" s="15"/>
    </row>
    <row r="17" spans="1:30" hidden="1">
      <c r="A17" s="7">
        <f t="shared" ref="A17:A27" si="72">A16</f>
        <v>490</v>
      </c>
      <c r="B17" s="3">
        <f t="shared" ref="B17:B27" si="73">B16</f>
        <v>614.65329399999996</v>
      </c>
      <c r="D17" s="1">
        <f t="shared" ref="D17:D27" si="74">D16+1</f>
        <v>15</v>
      </c>
      <c r="E17" s="2">
        <v>10</v>
      </c>
      <c r="F17" s="20">
        <v>10</v>
      </c>
      <c r="G17" s="2">
        <f t="shared" ref="G17:G27" si="75">F17/SQRT(2)</f>
        <v>7.0710678118654746</v>
      </c>
      <c r="H17" s="20">
        <f t="shared" si="0"/>
        <v>407</v>
      </c>
      <c r="I17" s="2">
        <f t="shared" ref="I17:I27" si="76">I16</f>
        <v>230</v>
      </c>
      <c r="J17" s="20">
        <f t="shared" ref="J17:J27" si="77">H17-B17</f>
        <v>-207.65329399999996</v>
      </c>
      <c r="K17" s="2">
        <f t="shared" ref="K17:K27" si="78">I17</f>
        <v>230</v>
      </c>
      <c r="L17" s="2">
        <f t="shared" ref="L17:L27" si="79">SQRT(J17^2+K17^2)</f>
        <v>309.87076420509635</v>
      </c>
      <c r="M17" s="2">
        <f t="shared" ref="M17:M27" si="80">ABS(J17/K17)</f>
        <v>0.90284040869565196</v>
      </c>
      <c r="N17" s="2">
        <f t="shared" ref="N17:N27" si="81">ATAN(M17)*180/PI()</f>
        <v>42.076999108815151</v>
      </c>
      <c r="P17" s="4">
        <f t="shared" ref="P17:P27" si="82">0.209 * (N17+2)^-0.32 * F17</f>
        <v>0.62229804998178795</v>
      </c>
      <c r="Q17" s="4">
        <f t="shared" ref="Q17:Q27" si="83">MIN(1.087*(N17+6)^-0.65 * F17, 0.17*F17)</f>
        <v>0.87694077802657278</v>
      </c>
      <c r="R17" s="4">
        <f t="shared" ref="R17:R25" si="84">Q17/L17</f>
        <v>2.8300210259466292E-3</v>
      </c>
      <c r="S17" s="4">
        <f t="shared" si="1"/>
        <v>0.61608576198424669</v>
      </c>
      <c r="T17" s="2">
        <f t="shared" si="2"/>
        <v>1004.3435484280518</v>
      </c>
      <c r="U17" s="6">
        <f t="shared" ref="U17:U25" si="85">S17*L17/T17</f>
        <v>0.19008133838340041</v>
      </c>
      <c r="V17" s="4">
        <f t="shared" ref="V17:V25" si="86">U17/P17</f>
        <v>0.30545064119831855</v>
      </c>
      <c r="W17" s="4">
        <f t="shared" ref="W17:W25" si="87">POWER(V17*(1.9-0.9*V17),0.3)</f>
        <v>0.81048669960118669</v>
      </c>
      <c r="X17" s="3">
        <f t="shared" ref="X17:X25" si="88">0.6*A17*G17*E17*(1+0.5*SIN(N17*PI()/180)^1.5)*W17/1000</f>
        <v>21.47068656699064</v>
      </c>
      <c r="Y17" s="8">
        <f t="shared" ref="Y17:Y25" si="89">X17*COS(N17*PI()/180)</f>
        <v>15.936507992536294</v>
      </c>
      <c r="Z17" s="3">
        <f t="shared" ref="Z17:Z25" si="90">X17*SIN(N17*PI()/180)</f>
        <v>14.388123389162992</v>
      </c>
      <c r="AA17" s="3">
        <f t="shared" ref="AA17:AA25" si="91">L17*X17</f>
        <v>6653.1380545214861</v>
      </c>
      <c r="AB17" s="3"/>
      <c r="AC17" s="3"/>
      <c r="AD17" s="15"/>
    </row>
    <row r="18" spans="1:30" hidden="1">
      <c r="A18" s="7">
        <f t="shared" si="72"/>
        <v>490</v>
      </c>
      <c r="B18" s="3">
        <f t="shared" si="73"/>
        <v>614.65329399999996</v>
      </c>
      <c r="D18" s="1">
        <f t="shared" si="74"/>
        <v>16</v>
      </c>
      <c r="E18" s="2">
        <v>10</v>
      </c>
      <c r="F18" s="20">
        <v>10</v>
      </c>
      <c r="G18" s="2">
        <f t="shared" si="75"/>
        <v>7.0710678118654746</v>
      </c>
      <c r="H18" s="20">
        <f t="shared" si="0"/>
        <v>397</v>
      </c>
      <c r="I18" s="2">
        <f t="shared" si="76"/>
        <v>230</v>
      </c>
      <c r="J18" s="20">
        <f t="shared" si="77"/>
        <v>-217.65329399999996</v>
      </c>
      <c r="K18" s="2">
        <f t="shared" si="78"/>
        <v>230</v>
      </c>
      <c r="L18" s="2">
        <f t="shared" si="79"/>
        <v>316.65905385611575</v>
      </c>
      <c r="M18" s="2">
        <f t="shared" si="80"/>
        <v>0.94631866956521726</v>
      </c>
      <c r="N18" s="2">
        <f t="shared" si="81"/>
        <v>43.420128127748448</v>
      </c>
      <c r="P18" s="4">
        <f t="shared" si="82"/>
        <v>0.61634916578342791</v>
      </c>
      <c r="Q18" s="4">
        <f t="shared" si="83"/>
        <v>0.86137453904959949</v>
      </c>
      <c r="R18" s="4">
        <f t="shared" si="84"/>
        <v>2.7201955180507576E-3</v>
      </c>
      <c r="S18" s="4">
        <f t="shared" si="1"/>
        <v>0.61608576198424669</v>
      </c>
      <c r="T18" s="2">
        <f t="shared" si="2"/>
        <v>1004.3435484280518</v>
      </c>
      <c r="U18" s="6">
        <f t="shared" si="85"/>
        <v>0.19424542009504558</v>
      </c>
      <c r="V18" s="4">
        <f t="shared" si="86"/>
        <v>0.31515483573040048</v>
      </c>
      <c r="W18" s="4">
        <f t="shared" si="87"/>
        <v>0.81680553707801729</v>
      </c>
      <c r="X18" s="3">
        <f t="shared" si="88"/>
        <v>21.81868953136512</v>
      </c>
      <c r="Y18" s="8">
        <f t="shared" si="89"/>
        <v>15.847639696713687</v>
      </c>
      <c r="Z18" s="3">
        <f t="shared" si="90"/>
        <v>14.996917313543021</v>
      </c>
      <c r="AA18" s="3">
        <f t="shared" si="91"/>
        <v>6909.0855833824162</v>
      </c>
      <c r="AB18" s="3"/>
      <c r="AC18" s="3"/>
      <c r="AD18" s="15"/>
    </row>
    <row r="19" spans="1:30" hidden="1">
      <c r="A19" s="7">
        <f t="shared" si="72"/>
        <v>490</v>
      </c>
      <c r="B19" s="3">
        <f t="shared" si="73"/>
        <v>614.65329399999996</v>
      </c>
      <c r="D19" s="1">
        <f t="shared" si="74"/>
        <v>17</v>
      </c>
      <c r="E19" s="2">
        <v>10</v>
      </c>
      <c r="F19" s="20">
        <v>10</v>
      </c>
      <c r="G19" s="2">
        <f t="shared" si="75"/>
        <v>7.0710678118654746</v>
      </c>
      <c r="H19" s="20">
        <f t="shared" si="0"/>
        <v>387</v>
      </c>
      <c r="I19" s="2">
        <f t="shared" si="76"/>
        <v>230</v>
      </c>
      <c r="J19" s="20">
        <f t="shared" si="77"/>
        <v>-227.65329399999996</v>
      </c>
      <c r="K19" s="2">
        <f t="shared" si="78"/>
        <v>230</v>
      </c>
      <c r="L19" s="2">
        <f t="shared" si="79"/>
        <v>323.61400196692728</v>
      </c>
      <c r="M19" s="2">
        <f t="shared" si="80"/>
        <v>0.98979693043478245</v>
      </c>
      <c r="N19" s="2">
        <f t="shared" si="81"/>
        <v>44.706207356293191</v>
      </c>
      <c r="P19" s="4">
        <f t="shared" si="82"/>
        <v>0.61086664643432842</v>
      </c>
      <c r="Q19" s="4">
        <f t="shared" si="83"/>
        <v>0.84711000445406481</v>
      </c>
      <c r="R19" s="4">
        <f t="shared" si="84"/>
        <v>2.6176555998977998E-3</v>
      </c>
      <c r="S19" s="4">
        <f t="shared" si="1"/>
        <v>0.61608576198424669</v>
      </c>
      <c r="T19" s="2">
        <f t="shared" si="2"/>
        <v>1004.3435484280518</v>
      </c>
      <c r="U19" s="6">
        <f t="shared" si="85"/>
        <v>0.19851173366186903</v>
      </c>
      <c r="V19" s="4">
        <f t="shared" si="86"/>
        <v>0.32496738006665771</v>
      </c>
      <c r="W19" s="4">
        <f t="shared" si="87"/>
        <v>0.82299956307812028</v>
      </c>
      <c r="X19" s="3">
        <f t="shared" si="88"/>
        <v>22.156736478913562</v>
      </c>
      <c r="Y19" s="8">
        <f t="shared" si="89"/>
        <v>15.747308086721556</v>
      </c>
      <c r="Z19" s="3">
        <f t="shared" si="90"/>
        <v>15.586637206847822</v>
      </c>
      <c r="AA19" s="3">
        <f t="shared" si="91"/>
        <v>7170.230162467823</v>
      </c>
      <c r="AB19" s="3"/>
      <c r="AC19" s="3"/>
      <c r="AD19" s="15"/>
    </row>
    <row r="20" spans="1:30" hidden="1">
      <c r="A20" s="7">
        <f t="shared" si="72"/>
        <v>490</v>
      </c>
      <c r="B20" s="3">
        <f t="shared" si="73"/>
        <v>614.65329399999996</v>
      </c>
      <c r="D20" s="1">
        <f t="shared" si="74"/>
        <v>18</v>
      </c>
      <c r="E20" s="2">
        <v>10</v>
      </c>
      <c r="F20" s="20">
        <v>10</v>
      </c>
      <c r="G20" s="2">
        <f t="shared" si="75"/>
        <v>7.0710678118654746</v>
      </c>
      <c r="H20" s="20">
        <f t="shared" si="0"/>
        <v>377</v>
      </c>
      <c r="I20" s="2">
        <f t="shared" si="76"/>
        <v>230</v>
      </c>
      <c r="J20" s="20">
        <f t="shared" si="77"/>
        <v>-237.65329399999996</v>
      </c>
      <c r="K20" s="2">
        <f t="shared" si="78"/>
        <v>230</v>
      </c>
      <c r="L20" s="2">
        <f t="shared" si="79"/>
        <v>330.72509452572604</v>
      </c>
      <c r="M20" s="2">
        <f t="shared" si="80"/>
        <v>1.0332751913043476</v>
      </c>
      <c r="N20" s="2">
        <f t="shared" si="81"/>
        <v>45.937579849174355</v>
      </c>
      <c r="P20" s="4">
        <f t="shared" si="82"/>
        <v>0.60580092567734578</v>
      </c>
      <c r="Q20" s="4">
        <f t="shared" si="83"/>
        <v>0.83400073495557847</v>
      </c>
      <c r="R20" s="4">
        <f t="shared" si="84"/>
        <v>2.5217340587703856E-3</v>
      </c>
      <c r="S20" s="4">
        <f t="shared" si="1"/>
        <v>0.61608576198424669</v>
      </c>
      <c r="T20" s="2">
        <f t="shared" si="2"/>
        <v>1004.3435484280518</v>
      </c>
      <c r="U20" s="6">
        <f t="shared" si="85"/>
        <v>0.20287382956469538</v>
      </c>
      <c r="V20" s="4">
        <f t="shared" si="86"/>
        <v>0.33488530797119898</v>
      </c>
      <c r="W20" s="4">
        <f t="shared" si="87"/>
        <v>0.82906968162651007</v>
      </c>
      <c r="X20" s="3">
        <f t="shared" si="88"/>
        <v>22.484864077481909</v>
      </c>
      <c r="Y20" s="8">
        <f t="shared" si="89"/>
        <v>15.636910604673098</v>
      </c>
      <c r="Z20" s="3">
        <f t="shared" si="90"/>
        <v>16.157231796452585</v>
      </c>
      <c r="AA20" s="3">
        <f t="shared" si="91"/>
        <v>7436.3087974233058</v>
      </c>
      <c r="AB20" s="3"/>
      <c r="AC20" s="3"/>
      <c r="AD20" s="15"/>
    </row>
    <row r="21" spans="1:30" hidden="1">
      <c r="A21" s="7">
        <f t="shared" si="72"/>
        <v>490</v>
      </c>
      <c r="B21" s="3">
        <f t="shared" si="73"/>
        <v>614.65329399999996</v>
      </c>
      <c r="D21" s="1">
        <f t="shared" si="74"/>
        <v>19</v>
      </c>
      <c r="E21" s="2">
        <v>10</v>
      </c>
      <c r="F21" s="20">
        <v>10</v>
      </c>
      <c r="G21" s="2">
        <f t="shared" si="75"/>
        <v>7.0710678118654746</v>
      </c>
      <c r="H21" s="20">
        <f t="shared" si="0"/>
        <v>367</v>
      </c>
      <c r="I21" s="2">
        <f t="shared" si="76"/>
        <v>230</v>
      </c>
      <c r="J21" s="20">
        <f t="shared" si="77"/>
        <v>-247.65329399999996</v>
      </c>
      <c r="K21" s="2">
        <f t="shared" si="78"/>
        <v>230</v>
      </c>
      <c r="L21" s="2">
        <f t="shared" si="79"/>
        <v>337.98247592005475</v>
      </c>
      <c r="M21" s="2">
        <f t="shared" si="80"/>
        <v>1.0767534521739128</v>
      </c>
      <c r="N21" s="2">
        <f t="shared" si="81"/>
        <v>47.116596086728848</v>
      </c>
      <c r="P21" s="4">
        <f t="shared" si="82"/>
        <v>0.60110901667849304</v>
      </c>
      <c r="Q21" s="4">
        <f t="shared" si="83"/>
        <v>0.82192064781437879</v>
      </c>
      <c r="R21" s="4">
        <f t="shared" si="84"/>
        <v>2.4318439752740112E-3</v>
      </c>
      <c r="S21" s="4">
        <f t="shared" si="1"/>
        <v>0.61608576198424669</v>
      </c>
      <c r="T21" s="2">
        <f t="shared" si="2"/>
        <v>1004.3435484280518</v>
      </c>
      <c r="U21" s="6">
        <f t="shared" si="85"/>
        <v>0.20732566216055698</v>
      </c>
      <c r="V21" s="4">
        <f t="shared" si="86"/>
        <v>0.34490526078973527</v>
      </c>
      <c r="W21" s="4">
        <f t="shared" si="87"/>
        <v>0.83501657085696945</v>
      </c>
      <c r="X21" s="3">
        <f t="shared" si="88"/>
        <v>22.803161549531929</v>
      </c>
      <c r="Y21" s="8">
        <f t="shared" si="89"/>
        <v>15.517748788942871</v>
      </c>
      <c r="Z21" s="3">
        <f t="shared" si="90"/>
        <v>16.708789578461793</v>
      </c>
      <c r="AA21" s="3">
        <f t="shared" si="91"/>
        <v>7707.0689993157939</v>
      </c>
      <c r="AB21" s="3"/>
      <c r="AC21" s="3"/>
      <c r="AD21" s="15"/>
    </row>
    <row r="22" spans="1:30" hidden="1">
      <c r="A22" s="7">
        <f t="shared" si="72"/>
        <v>490</v>
      </c>
      <c r="B22" s="3">
        <f t="shared" si="73"/>
        <v>614.65329399999996</v>
      </c>
      <c r="D22" s="1">
        <f t="shared" si="74"/>
        <v>20</v>
      </c>
      <c r="E22" s="2">
        <v>10</v>
      </c>
      <c r="F22" s="20">
        <v>10</v>
      </c>
      <c r="G22" s="2">
        <f t="shared" si="75"/>
        <v>7.0710678118654746</v>
      </c>
      <c r="H22" s="20">
        <f t="shared" si="0"/>
        <v>357</v>
      </c>
      <c r="I22" s="2">
        <f t="shared" si="76"/>
        <v>230</v>
      </c>
      <c r="J22" s="20">
        <f t="shared" si="77"/>
        <v>-257.65329399999996</v>
      </c>
      <c r="K22" s="2">
        <f t="shared" si="78"/>
        <v>230</v>
      </c>
      <c r="L22" s="2">
        <f t="shared" si="79"/>
        <v>345.37692440151585</v>
      </c>
      <c r="M22" s="2">
        <f t="shared" si="80"/>
        <v>1.120231713043478</v>
      </c>
      <c r="N22" s="2">
        <f t="shared" si="81"/>
        <v>48.245588626155119</v>
      </c>
      <c r="P22" s="4">
        <f t="shared" si="82"/>
        <v>0.59675346013570696</v>
      </c>
      <c r="Q22" s="4">
        <f t="shared" si="83"/>
        <v>0.81076065914142348</v>
      </c>
      <c r="R22" s="4">
        <f t="shared" si="84"/>
        <v>2.3474662082486977E-3</v>
      </c>
      <c r="S22" s="4">
        <f t="shared" si="1"/>
        <v>0.61608576198424669</v>
      </c>
      <c r="T22" s="2">
        <f t="shared" si="2"/>
        <v>1004.3435484280518</v>
      </c>
      <c r="U22" s="6">
        <f t="shared" si="85"/>
        <v>0.21186157463222507</v>
      </c>
      <c r="V22" s="4">
        <f t="shared" si="86"/>
        <v>0.35502362162097206</v>
      </c>
      <c r="W22" s="4">
        <f t="shared" si="87"/>
        <v>0.84084079179804327</v>
      </c>
      <c r="X22" s="3">
        <f t="shared" si="88"/>
        <v>23.111760762835939</v>
      </c>
      <c r="Y22" s="8">
        <f t="shared" si="89"/>
        <v>15.391025282489702</v>
      </c>
      <c r="Z22" s="3">
        <f t="shared" si="90"/>
        <v>17.241514617698922</v>
      </c>
      <c r="AA22" s="3">
        <f t="shared" si="91"/>
        <v>7982.2688497719082</v>
      </c>
      <c r="AB22" s="3"/>
      <c r="AC22" s="3"/>
      <c r="AD22" s="15"/>
    </row>
    <row r="23" spans="1:30" hidden="1">
      <c r="A23" s="7">
        <f t="shared" si="72"/>
        <v>490</v>
      </c>
      <c r="B23" s="3">
        <f t="shared" si="73"/>
        <v>614.65329399999996</v>
      </c>
      <c r="D23" s="1">
        <f t="shared" si="74"/>
        <v>21</v>
      </c>
      <c r="E23" s="2">
        <v>10</v>
      </c>
      <c r="F23" s="20">
        <v>10</v>
      </c>
      <c r="G23" s="2">
        <f t="shared" si="75"/>
        <v>7.0710678118654746</v>
      </c>
      <c r="H23" s="20">
        <f t="shared" si="0"/>
        <v>347</v>
      </c>
      <c r="I23" s="2">
        <f t="shared" si="76"/>
        <v>230</v>
      </c>
      <c r="J23" s="20">
        <f t="shared" si="77"/>
        <v>-267.65329399999996</v>
      </c>
      <c r="K23" s="2">
        <f t="shared" si="78"/>
        <v>230</v>
      </c>
      <c r="L23" s="2">
        <f t="shared" si="79"/>
        <v>352.89982401391251</v>
      </c>
      <c r="M23" s="2">
        <f t="shared" si="80"/>
        <v>1.1637099739130432</v>
      </c>
      <c r="N23" s="2">
        <f t="shared" si="81"/>
        <v>49.32685198779167</v>
      </c>
      <c r="P23" s="4">
        <f t="shared" si="82"/>
        <v>0.59270147079301105</v>
      </c>
      <c r="Q23" s="4">
        <f t="shared" si="83"/>
        <v>0.8004259680830329</v>
      </c>
      <c r="R23" s="4">
        <f t="shared" si="84"/>
        <v>2.2681393234457304E-3</v>
      </c>
      <c r="S23" s="4">
        <f t="shared" si="1"/>
        <v>0.61608576198424669</v>
      </c>
      <c r="T23" s="2">
        <f t="shared" si="2"/>
        <v>1004.3435484280518</v>
      </c>
      <c r="U23" s="6">
        <f t="shared" si="85"/>
        <v>0.21647628176833253</v>
      </c>
      <c r="V23" s="4">
        <f t="shared" si="86"/>
        <v>0.36523661984286265</v>
      </c>
      <c r="W23" s="4">
        <f t="shared" si="87"/>
        <v>0.84654286405178369</v>
      </c>
      <c r="X23" s="3">
        <f t="shared" si="88"/>
        <v>23.410827447513263</v>
      </c>
      <c r="Y23" s="8">
        <f t="shared" si="89"/>
        <v>15.257843576356606</v>
      </c>
      <c r="Z23" s="3">
        <f t="shared" si="90"/>
        <v>17.755704750211233</v>
      </c>
      <c r="AA23" s="3">
        <f t="shared" si="91"/>
        <v>8261.6768862475037</v>
      </c>
      <c r="AB23" s="3"/>
      <c r="AC23" s="3"/>
      <c r="AD23" s="15"/>
    </row>
    <row r="24" spans="1:30" hidden="1">
      <c r="A24" s="7">
        <f t="shared" si="72"/>
        <v>490</v>
      </c>
      <c r="B24" s="3">
        <f t="shared" si="73"/>
        <v>614.65329399999996</v>
      </c>
      <c r="D24" s="1">
        <f t="shared" si="74"/>
        <v>22</v>
      </c>
      <c r="E24" s="2">
        <v>10</v>
      </c>
      <c r="F24" s="20">
        <v>10</v>
      </c>
      <c r="G24" s="2">
        <f t="shared" si="75"/>
        <v>7.0710678118654746</v>
      </c>
      <c r="H24" s="20">
        <f t="shared" si="0"/>
        <v>337</v>
      </c>
      <c r="I24" s="2">
        <f t="shared" si="76"/>
        <v>230</v>
      </c>
      <c r="J24" s="20">
        <f t="shared" si="77"/>
        <v>-277.65329399999996</v>
      </c>
      <c r="K24" s="2">
        <f t="shared" si="78"/>
        <v>230</v>
      </c>
      <c r="L24" s="2">
        <f t="shared" si="79"/>
        <v>360.54313426974369</v>
      </c>
      <c r="M24" s="2">
        <f t="shared" si="80"/>
        <v>1.2071882347826086</v>
      </c>
      <c r="N24" s="2">
        <f t="shared" si="81"/>
        <v>50.362627053137601</v>
      </c>
      <c r="P24" s="4">
        <f t="shared" si="82"/>
        <v>0.58892423900399082</v>
      </c>
      <c r="Q24" s="4">
        <f t="shared" si="83"/>
        <v>0.79083384312533644</v>
      </c>
      <c r="R24" s="4">
        <f t="shared" si="84"/>
        <v>2.1934514013895122E-3</v>
      </c>
      <c r="S24" s="4">
        <f t="shared" si="1"/>
        <v>0.61608576198424669</v>
      </c>
      <c r="T24" s="2">
        <f t="shared" si="2"/>
        <v>1004.3435484280518</v>
      </c>
      <c r="U24" s="6">
        <f t="shared" si="85"/>
        <v>0.22116485136228861</v>
      </c>
      <c r="V24" s="4">
        <f t="shared" si="86"/>
        <v>0.37554041201688404</v>
      </c>
      <c r="W24" s="4">
        <f t="shared" si="87"/>
        <v>0.85212331692549226</v>
      </c>
      <c r="X24" s="3">
        <f t="shared" si="88"/>
        <v>23.700553541398609</v>
      </c>
      <c r="Y24" s="8">
        <f t="shared" si="89"/>
        <v>15.119209870859358</v>
      </c>
      <c r="Z24" s="3">
        <f t="shared" si="90"/>
        <v>18.251732275310502</v>
      </c>
      <c r="AA24" s="3">
        <f t="shared" si="91"/>
        <v>8545.0718577437274</v>
      </c>
      <c r="AB24" s="3"/>
      <c r="AC24" s="3"/>
      <c r="AD24" s="15"/>
    </row>
    <row r="25" spans="1:30" hidden="1">
      <c r="A25" s="7">
        <f t="shared" si="72"/>
        <v>490</v>
      </c>
      <c r="B25" s="3">
        <f t="shared" si="73"/>
        <v>614.65329399999996</v>
      </c>
      <c r="D25" s="1">
        <f t="shared" si="74"/>
        <v>23</v>
      </c>
      <c r="E25" s="2">
        <v>10</v>
      </c>
      <c r="F25" s="20">
        <v>10</v>
      </c>
      <c r="G25" s="2">
        <f t="shared" si="75"/>
        <v>7.0710678118654746</v>
      </c>
      <c r="H25" s="20">
        <f t="shared" si="0"/>
        <v>327</v>
      </c>
      <c r="I25" s="2">
        <f t="shared" si="76"/>
        <v>230</v>
      </c>
      <c r="J25" s="20">
        <f t="shared" si="77"/>
        <v>-287.65329399999996</v>
      </c>
      <c r="K25" s="2">
        <f t="shared" si="78"/>
        <v>230</v>
      </c>
      <c r="L25" s="2">
        <f t="shared" si="79"/>
        <v>368.29935860526615</v>
      </c>
      <c r="M25" s="2">
        <f t="shared" si="80"/>
        <v>1.2506664956521738</v>
      </c>
      <c r="N25" s="2">
        <f t="shared" si="81"/>
        <v>51.355089297375748</v>
      </c>
      <c r="P25" s="4">
        <f t="shared" si="82"/>
        <v>0.58539635474481477</v>
      </c>
      <c r="Q25" s="4">
        <f t="shared" si="83"/>
        <v>0.78191180487000733</v>
      </c>
      <c r="R25" s="4">
        <f t="shared" si="84"/>
        <v>2.1230333059255755E-3</v>
      </c>
      <c r="S25" s="4">
        <f t="shared" si="1"/>
        <v>0.61608576198424669</v>
      </c>
      <c r="T25" s="2">
        <f t="shared" si="2"/>
        <v>1004.3435484280518</v>
      </c>
      <c r="U25" s="6">
        <f t="shared" si="85"/>
        <v>0.22592268486194139</v>
      </c>
      <c r="V25" s="4">
        <f t="shared" si="86"/>
        <v>0.38593114396898714</v>
      </c>
      <c r="W25" s="4">
        <f t="shared" si="87"/>
        <v>0.85758272248009548</v>
      </c>
      <c r="X25" s="3">
        <f t="shared" si="88"/>
        <v>23.981150613995265</v>
      </c>
      <c r="Y25" s="8">
        <f t="shared" si="89"/>
        <v>14.976036510371609</v>
      </c>
      <c r="Z25" s="3">
        <f t="shared" si="90"/>
        <v>18.730027101185467</v>
      </c>
      <c r="AA25" s="3">
        <f t="shared" si="91"/>
        <v>8832.2423897507397</v>
      </c>
      <c r="AB25" s="3"/>
      <c r="AC25" s="3"/>
      <c r="AD25" s="15"/>
    </row>
    <row r="26" spans="1:30" hidden="1">
      <c r="A26" s="7">
        <f t="shared" si="72"/>
        <v>490</v>
      </c>
      <c r="B26" s="3">
        <f t="shared" si="73"/>
        <v>614.65329399999996</v>
      </c>
      <c r="D26" s="1">
        <f t="shared" si="74"/>
        <v>24</v>
      </c>
      <c r="E26" s="2">
        <v>10</v>
      </c>
      <c r="F26" s="20">
        <v>10</v>
      </c>
      <c r="G26" s="2">
        <f t="shared" si="75"/>
        <v>7.0710678118654746</v>
      </c>
      <c r="H26" s="20">
        <f t="shared" si="0"/>
        <v>317</v>
      </c>
      <c r="I26" s="2">
        <f t="shared" si="76"/>
        <v>230</v>
      </c>
      <c r="J26" s="20">
        <f t="shared" si="77"/>
        <v>-297.65329399999996</v>
      </c>
      <c r="K26" s="2">
        <f t="shared" si="78"/>
        <v>230</v>
      </c>
      <c r="L26" s="2">
        <f t="shared" si="79"/>
        <v>376.16151242391936</v>
      </c>
      <c r="M26" s="2">
        <f t="shared" si="80"/>
        <v>1.294144756521739</v>
      </c>
      <c r="N26" s="2">
        <f t="shared" si="81"/>
        <v>52.306340239157286</v>
      </c>
      <c r="P26" s="4">
        <f t="shared" si="82"/>
        <v>0.58209532926752028</v>
      </c>
      <c r="Q26" s="4">
        <f t="shared" si="83"/>
        <v>0.7735961245562315</v>
      </c>
      <c r="R26" s="4">
        <f t="shared" ref="R26:R37" si="92">Q26/L26</f>
        <v>2.0565531002130245E-3</v>
      </c>
      <c r="S26" s="4">
        <f t="shared" si="1"/>
        <v>0.61608576198424669</v>
      </c>
      <c r="T26" s="2">
        <f t="shared" si="2"/>
        <v>1004.3435484280518</v>
      </c>
      <c r="U26" s="6">
        <f t="shared" ref="U26:U37" si="93">S26*L26/T26</f>
        <v>0.23074549776673234</v>
      </c>
      <c r="V26" s="4">
        <f t="shared" ref="V26:V37" si="94">U26/P26</f>
        <v>0.39640499788426575</v>
      </c>
      <c r="W26" s="4">
        <f t="shared" ref="W26:W37" si="95">POWER(V26*(1.9-0.9*V26),0.3)</f>
        <v>0.86292171537540263</v>
      </c>
      <c r="X26" s="3">
        <f t="shared" ref="X26:X37" si="96">0.6*A26*G26*E26*(1+0.5*SIN(N26*PI()/180)^1.5)*W26/1000</f>
        <v>24.2528442886249</v>
      </c>
      <c r="Y26" s="8">
        <f t="shared" ref="Y26:Y37" si="97">X26*COS(N26*PI()/180)</f>
        <v>14.829146529210478</v>
      </c>
      <c r="Z26" s="3">
        <f t="shared" ref="Z26:Z37" si="98">X26*SIN(N26*PI()/180)</f>
        <v>19.191062224470283</v>
      </c>
      <c r="AA26" s="3">
        <f t="shared" ref="AA26:AA37" si="99">L26*X26</f>
        <v>9122.9865881909573</v>
      </c>
      <c r="AB26" s="3"/>
      <c r="AC26" s="3"/>
      <c r="AD26" s="15"/>
    </row>
    <row r="27" spans="1:30" hidden="1">
      <c r="A27" s="7">
        <f t="shared" si="72"/>
        <v>490</v>
      </c>
      <c r="B27" s="3">
        <f t="shared" si="73"/>
        <v>614.65329399999996</v>
      </c>
      <c r="D27" s="1">
        <f t="shared" si="74"/>
        <v>25</v>
      </c>
      <c r="E27" s="2">
        <v>10</v>
      </c>
      <c r="F27" s="20">
        <v>10</v>
      </c>
      <c r="G27" s="2">
        <f t="shared" si="75"/>
        <v>7.0710678118654746</v>
      </c>
      <c r="H27" s="20">
        <f t="shared" si="0"/>
        <v>307</v>
      </c>
      <c r="I27" s="2">
        <f t="shared" si="76"/>
        <v>230</v>
      </c>
      <c r="J27" s="20">
        <f t="shared" si="77"/>
        <v>-307.65329399999996</v>
      </c>
      <c r="K27" s="2">
        <f t="shared" si="78"/>
        <v>230</v>
      </c>
      <c r="L27" s="2">
        <f t="shared" si="79"/>
        <v>384.12309135100224</v>
      </c>
      <c r="M27" s="2">
        <f t="shared" si="80"/>
        <v>1.3376230173913042</v>
      </c>
      <c r="N27" s="2">
        <f t="shared" si="81"/>
        <v>53.218401556888054</v>
      </c>
      <c r="P27" s="4">
        <f t="shared" si="82"/>
        <v>0.57900119530042338</v>
      </c>
      <c r="Q27" s="4">
        <f t="shared" si="83"/>
        <v>0.76583057603097637</v>
      </c>
      <c r="R27" s="4">
        <f t="shared" si="92"/>
        <v>1.9937113734492446E-3</v>
      </c>
      <c r="S27" s="4">
        <f t="shared" si="1"/>
        <v>0.61608576198424669</v>
      </c>
      <c r="T27" s="2">
        <f t="shared" si="2"/>
        <v>1004.3435484280518</v>
      </c>
      <c r="U27" s="6">
        <f t="shared" si="93"/>
        <v>0.23562930015443787</v>
      </c>
      <c r="V27" s="4">
        <f t="shared" si="94"/>
        <v>0.40695822749066712</v>
      </c>
      <c r="W27" s="4">
        <f t="shared" si="95"/>
        <v>0.86814100319135745</v>
      </c>
      <c r="X27" s="3">
        <f t="shared" si="96"/>
        <v>24.515869566602817</v>
      </c>
      <c r="Y27" s="8">
        <f t="shared" si="97"/>
        <v>14.679278927197291</v>
      </c>
      <c r="Z27" s="3">
        <f t="shared" si="98"/>
        <v>19.635341371726227</v>
      </c>
      <c r="AA27" s="3">
        <f t="shared" si="99"/>
        <v>9417.1116050814289</v>
      </c>
      <c r="AB27" s="3"/>
      <c r="AC27" s="3"/>
      <c r="AD27" s="15"/>
    </row>
    <row r="28" spans="1:30" hidden="1">
      <c r="A28" s="7">
        <f t="shared" ref="A28:A37" si="100">A27</f>
        <v>490</v>
      </c>
      <c r="B28" s="3">
        <f t="shared" ref="B28:B37" si="101">B27</f>
        <v>614.65329399999996</v>
      </c>
      <c r="D28" s="1">
        <f t="shared" ref="D28:D48" si="102">D27+1</f>
        <v>26</v>
      </c>
      <c r="E28" s="2">
        <v>10</v>
      </c>
      <c r="F28" s="20">
        <v>10</v>
      </c>
      <c r="G28" s="2">
        <f t="shared" ref="G28:G37" si="103">F28/SQRT(2)</f>
        <v>7.0710678118654746</v>
      </c>
      <c r="H28" s="20">
        <f t="shared" si="0"/>
        <v>297</v>
      </c>
      <c r="I28" s="2">
        <f t="shared" ref="I28:I37" si="104">I27</f>
        <v>230</v>
      </c>
      <c r="J28" s="20">
        <f t="shared" ref="J28:J37" si="105">H28-B28</f>
        <v>-317.65329399999996</v>
      </c>
      <c r="K28" s="2">
        <f t="shared" ref="K28:K37" si="106">I28</f>
        <v>230</v>
      </c>
      <c r="L28" s="2">
        <f t="shared" ref="L28:L37" si="107">SQRT(J28^2+K28^2)</f>
        <v>392.17804016677223</v>
      </c>
      <c r="M28" s="2">
        <f t="shared" ref="M28:M37" si="108">ABS(J28/K28)</f>
        <v>1.3811012782608694</v>
      </c>
      <c r="N28" s="2">
        <f t="shared" ref="N28:N37" si="109">ATAN(M28)*180/PI()</f>
        <v>54.093211388473065</v>
      </c>
      <c r="P28" s="4">
        <f t="shared" ref="P28:P37" si="110">0.209 * (N28+2)^-0.32 * F28</f>
        <v>0.5760961709480904</v>
      </c>
      <c r="Q28" s="4">
        <f t="shared" ref="Q28:Q37" si="111">MIN(1.087*(N28+6)^-0.65 * F28, 0.17*F28)</f>
        <v>0.75856539264495004</v>
      </c>
      <c r="R28" s="4">
        <f t="shared" si="92"/>
        <v>1.9342372977394985E-3</v>
      </c>
      <c r="S28" s="4">
        <f t="shared" si="1"/>
        <v>0.61608576198424669</v>
      </c>
      <c r="T28" s="2">
        <f t="shared" si="2"/>
        <v>1004.3435484280518</v>
      </c>
      <c r="U28" s="6">
        <f t="shared" si="93"/>
        <v>0.24057037762406952</v>
      </c>
      <c r="V28" s="4">
        <f t="shared" si="94"/>
        <v>0.41758718379981441</v>
      </c>
      <c r="W28" s="4">
        <f t="shared" si="95"/>
        <v>0.87324136999079838</v>
      </c>
      <c r="X28" s="3">
        <f t="shared" si="96"/>
        <v>24.770466951648793</v>
      </c>
      <c r="Y28" s="8">
        <f t="shared" si="97"/>
        <v>14.527094368813986</v>
      </c>
      <c r="Z28" s="3">
        <f t="shared" si="98"/>
        <v>20.063388602185274</v>
      </c>
      <c r="AA28" s="3">
        <f t="shared" si="99"/>
        <v>9714.4331831134241</v>
      </c>
      <c r="AB28" s="3"/>
      <c r="AC28" s="3"/>
      <c r="AD28" s="15"/>
    </row>
    <row r="29" spans="1:30" hidden="1">
      <c r="A29" s="7">
        <f t="shared" si="100"/>
        <v>490</v>
      </c>
      <c r="B29" s="3">
        <f t="shared" si="101"/>
        <v>614.65329399999996</v>
      </c>
      <c r="D29" s="1">
        <f t="shared" si="102"/>
        <v>27</v>
      </c>
      <c r="E29" s="2">
        <v>10</v>
      </c>
      <c r="F29" s="20">
        <v>10</v>
      </c>
      <c r="G29" s="2">
        <f t="shared" si="103"/>
        <v>7.0710678118654746</v>
      </c>
      <c r="H29" s="20">
        <f t="shared" si="0"/>
        <v>287</v>
      </c>
      <c r="I29" s="2">
        <f t="shared" si="104"/>
        <v>230</v>
      </c>
      <c r="J29" s="20">
        <f t="shared" si="105"/>
        <v>-327.65329399999996</v>
      </c>
      <c r="K29" s="2">
        <f t="shared" si="106"/>
        <v>230</v>
      </c>
      <c r="L29" s="2">
        <f t="shared" si="107"/>
        <v>400.32072275745406</v>
      </c>
      <c r="M29" s="2">
        <f t="shared" si="108"/>
        <v>1.4245795391304346</v>
      </c>
      <c r="N29" s="2">
        <f t="shared" si="109"/>
        <v>54.932622396924415</v>
      </c>
      <c r="P29" s="4">
        <f t="shared" si="110"/>
        <v>0.57336437563303821</v>
      </c>
      <c r="Q29" s="4">
        <f t="shared" si="111"/>
        <v>0.75175639095637947</v>
      </c>
      <c r="R29" s="4">
        <f t="shared" si="92"/>
        <v>1.8778852760311709E-3</v>
      </c>
      <c r="S29" s="4">
        <f t="shared" si="1"/>
        <v>0.61608576198424669</v>
      </c>
      <c r="T29" s="2">
        <f t="shared" si="2"/>
        <v>1004.3435484280518</v>
      </c>
      <c r="U29" s="6">
        <f t="shared" si="93"/>
        <v>0.24556527286318147</v>
      </c>
      <c r="V29" s="4">
        <f t="shared" si="94"/>
        <v>0.42828833338670297</v>
      </c>
      <c r="W29" s="4">
        <f t="shared" si="95"/>
        <v>0.87822367519356626</v>
      </c>
      <c r="X29" s="3">
        <f t="shared" si="96"/>
        <v>25.016879273814059</v>
      </c>
      <c r="Y29" s="8">
        <f t="shared" si="97"/>
        <v>14.373181066780273</v>
      </c>
      <c r="Z29" s="3">
        <f t="shared" si="98"/>
        <v>20.475739659952129</v>
      </c>
      <c r="AA29" s="3">
        <f t="shared" si="99"/>
        <v>10014.775192029216</v>
      </c>
      <c r="AB29" s="3"/>
      <c r="AC29" s="3"/>
      <c r="AD29" s="15"/>
    </row>
    <row r="30" spans="1:30" hidden="1">
      <c r="A30" s="7">
        <f t="shared" si="100"/>
        <v>490</v>
      </c>
      <c r="B30" s="3">
        <f t="shared" si="101"/>
        <v>614.65329399999996</v>
      </c>
      <c r="D30" s="1">
        <f t="shared" si="102"/>
        <v>28</v>
      </c>
      <c r="E30" s="2">
        <v>10</v>
      </c>
      <c r="F30" s="20">
        <v>10</v>
      </c>
      <c r="G30" s="2">
        <f t="shared" si="103"/>
        <v>7.0710678118654746</v>
      </c>
      <c r="H30" s="20">
        <f t="shared" si="0"/>
        <v>277</v>
      </c>
      <c r="I30" s="2">
        <f t="shared" si="104"/>
        <v>230</v>
      </c>
      <c r="J30" s="20">
        <f t="shared" si="105"/>
        <v>-337.65329399999996</v>
      </c>
      <c r="K30" s="2">
        <f t="shared" si="106"/>
        <v>230</v>
      </c>
      <c r="L30" s="2">
        <f t="shared" si="107"/>
        <v>408.54589332050614</v>
      </c>
      <c r="M30" s="2">
        <f t="shared" si="108"/>
        <v>1.4680577999999997</v>
      </c>
      <c r="N30" s="2">
        <f t="shared" si="109"/>
        <v>55.73840124525676</v>
      </c>
      <c r="P30" s="4">
        <f t="shared" si="110"/>
        <v>0.57079158884377545</v>
      </c>
      <c r="Q30" s="4">
        <f t="shared" si="111"/>
        <v>0.74536423105996819</v>
      </c>
      <c r="R30" s="4">
        <f t="shared" si="92"/>
        <v>1.8244320729843356E-3</v>
      </c>
      <c r="S30" s="4">
        <f t="shared" si="1"/>
        <v>0.61608576198424669</v>
      </c>
      <c r="T30" s="2">
        <f t="shared" si="2"/>
        <v>1004.3435484280518</v>
      </c>
      <c r="U30" s="6">
        <f t="shared" si="93"/>
        <v>0.25061076798456655</v>
      </c>
      <c r="V30" s="4">
        <f t="shared" si="94"/>
        <v>0.43905827079935866</v>
      </c>
      <c r="W30" s="4">
        <f t="shared" si="95"/>
        <v>0.8830888493020943</v>
      </c>
      <c r="X30" s="3">
        <f t="shared" si="96"/>
        <v>25.255349117445704</v>
      </c>
      <c r="Y30" s="8">
        <f t="shared" si="97"/>
        <v>14.218060668292011</v>
      </c>
      <c r="Z30" s="3">
        <f t="shared" si="98"/>
        <v>20.872934864959294</v>
      </c>
      <c r="AA30" s="3">
        <f t="shared" si="99"/>
        <v>10317.969166308112</v>
      </c>
      <c r="AB30" s="3"/>
      <c r="AC30" s="3"/>
      <c r="AD30" s="15"/>
    </row>
    <row r="31" spans="1:30" hidden="1">
      <c r="A31" s="7">
        <f t="shared" si="100"/>
        <v>490</v>
      </c>
      <c r="B31" s="3">
        <f t="shared" si="101"/>
        <v>614.65329399999996</v>
      </c>
      <c r="D31" s="1">
        <f t="shared" si="102"/>
        <v>29</v>
      </c>
      <c r="E31" s="2">
        <v>10</v>
      </c>
      <c r="F31" s="20">
        <v>10</v>
      </c>
      <c r="G31" s="2">
        <f t="shared" si="103"/>
        <v>7.0710678118654746</v>
      </c>
      <c r="H31" s="20">
        <f t="shared" si="0"/>
        <v>267</v>
      </c>
      <c r="I31" s="2">
        <f t="shared" si="104"/>
        <v>230</v>
      </c>
      <c r="J31" s="20">
        <f t="shared" si="105"/>
        <v>-347.65329399999996</v>
      </c>
      <c r="K31" s="2">
        <f t="shared" si="106"/>
        <v>230</v>
      </c>
      <c r="L31" s="2">
        <f t="shared" si="107"/>
        <v>416.84866897838407</v>
      </c>
      <c r="M31" s="2">
        <f t="shared" si="108"/>
        <v>1.5115360608695649</v>
      </c>
      <c r="N31" s="2">
        <f t="shared" si="109"/>
        <v>56.512229179495264</v>
      </c>
      <c r="P31" s="4">
        <f t="shared" si="110"/>
        <v>0.56836504431222323</v>
      </c>
      <c r="Q31" s="4">
        <f t="shared" si="111"/>
        <v>0.73935378946506947</v>
      </c>
      <c r="R31" s="4">
        <f t="shared" si="92"/>
        <v>1.7736743439221803E-3</v>
      </c>
      <c r="S31" s="4">
        <f t="shared" si="1"/>
        <v>0.61608576198424669</v>
      </c>
      <c r="T31" s="2">
        <f t="shared" si="2"/>
        <v>1004.3435484280518</v>
      </c>
      <c r="U31" s="6">
        <f t="shared" si="93"/>
        <v>0.25570386772695458</v>
      </c>
      <c r="V31" s="4">
        <f t="shared" si="94"/>
        <v>0.4498937263750642</v>
      </c>
      <c r="W31" s="4">
        <f t="shared" si="95"/>
        <v>0.88783788761575821</v>
      </c>
      <c r="X31" s="3">
        <f t="shared" si="96"/>
        <v>25.486116765329804</v>
      </c>
      <c r="Y31" s="8">
        <f t="shared" si="97"/>
        <v>14.062194010099676</v>
      </c>
      <c r="Z31" s="3">
        <f t="shared" si="98"/>
        <v>21.255513341209657</v>
      </c>
      <c r="AA31" s="3">
        <f t="shared" si="99"/>
        <v>10623.853851055408</v>
      </c>
      <c r="AB31" s="3"/>
      <c r="AC31" s="3"/>
      <c r="AD31" s="15"/>
    </row>
    <row r="32" spans="1:30" hidden="1">
      <c r="A32" s="7">
        <f t="shared" si="100"/>
        <v>490</v>
      </c>
      <c r="B32" s="3">
        <f t="shared" si="101"/>
        <v>614.65329399999996</v>
      </c>
      <c r="D32" s="1">
        <f t="shared" si="102"/>
        <v>30</v>
      </c>
      <c r="E32" s="2">
        <v>10</v>
      </c>
      <c r="F32" s="20">
        <v>10</v>
      </c>
      <c r="G32" s="2">
        <f t="shared" si="103"/>
        <v>7.0710678118654746</v>
      </c>
      <c r="H32" s="20">
        <f t="shared" si="0"/>
        <v>257</v>
      </c>
      <c r="I32" s="2">
        <f t="shared" si="104"/>
        <v>230</v>
      </c>
      <c r="J32" s="20">
        <f t="shared" si="105"/>
        <v>-357.65329399999996</v>
      </c>
      <c r="K32" s="2">
        <f t="shared" si="106"/>
        <v>230</v>
      </c>
      <c r="L32" s="2">
        <f t="shared" si="107"/>
        <v>425.22450389065119</v>
      </c>
      <c r="M32" s="2">
        <f t="shared" si="108"/>
        <v>1.5550143217391303</v>
      </c>
      <c r="N32" s="2">
        <f t="shared" si="109"/>
        <v>57.255703467907345</v>
      </c>
      <c r="P32" s="4">
        <f t="shared" si="110"/>
        <v>0.56607325368290717</v>
      </c>
      <c r="Q32" s="4">
        <f t="shared" si="111"/>
        <v>0.7336936251865912</v>
      </c>
      <c r="R32" s="4">
        <f t="shared" si="92"/>
        <v>1.7254264946482589E-3</v>
      </c>
      <c r="S32" s="4">
        <f t="shared" si="1"/>
        <v>0.61608576198424669</v>
      </c>
      <c r="T32" s="2">
        <f t="shared" si="2"/>
        <v>1004.3435484280518</v>
      </c>
      <c r="U32" s="6">
        <f t="shared" si="93"/>
        <v>0.26084178357482846</v>
      </c>
      <c r="V32" s="4">
        <f t="shared" si="94"/>
        <v>0.46079157048628577</v>
      </c>
      <c r="W32" s="4">
        <f t="shared" si="95"/>
        <v>0.89247184276551184</v>
      </c>
      <c r="X32" s="3">
        <f t="shared" si="96"/>
        <v>25.709418579916736</v>
      </c>
      <c r="Y32" s="8">
        <f t="shared" si="97"/>
        <v>13.905986647706106</v>
      </c>
      <c r="Z32" s="3">
        <f t="shared" si="98"/>
        <v>21.624008395096116</v>
      </c>
      <c r="AA32" s="3">
        <f t="shared" si="99"/>
        <v>10932.274760962184</v>
      </c>
      <c r="AB32" s="3"/>
      <c r="AC32" s="3"/>
      <c r="AD32" s="15"/>
    </row>
    <row r="33" spans="1:30" hidden="1">
      <c r="A33" s="7">
        <f t="shared" si="100"/>
        <v>490</v>
      </c>
      <c r="B33" s="3">
        <f t="shared" si="101"/>
        <v>614.65329399999996</v>
      </c>
      <c r="D33" s="1">
        <f t="shared" si="102"/>
        <v>31</v>
      </c>
      <c r="E33" s="2">
        <v>10</v>
      </c>
      <c r="F33" s="20">
        <v>10</v>
      </c>
      <c r="G33" s="2">
        <f t="shared" si="103"/>
        <v>7.0710678118654746</v>
      </c>
      <c r="H33" s="20">
        <f t="shared" si="0"/>
        <v>247</v>
      </c>
      <c r="I33" s="2">
        <f t="shared" si="104"/>
        <v>230</v>
      </c>
      <c r="J33" s="20">
        <f t="shared" si="105"/>
        <v>-367.65329399999996</v>
      </c>
      <c r="K33" s="2">
        <f t="shared" si="106"/>
        <v>230</v>
      </c>
      <c r="L33" s="2">
        <f t="shared" si="107"/>
        <v>433.66916490459681</v>
      </c>
      <c r="M33" s="2">
        <f t="shared" si="108"/>
        <v>1.5984925826086955</v>
      </c>
      <c r="N33" s="2">
        <f t="shared" si="109"/>
        <v>57.970339487712437</v>
      </c>
      <c r="P33" s="4">
        <f t="shared" si="110"/>
        <v>0.56390585486099232</v>
      </c>
      <c r="Q33" s="4">
        <f t="shared" si="111"/>
        <v>0.72835552341951848</v>
      </c>
      <c r="R33" s="4">
        <f t="shared" si="92"/>
        <v>1.6795188184056155E-3</v>
      </c>
      <c r="S33" s="4">
        <f t="shared" si="1"/>
        <v>0.61608576198424669</v>
      </c>
      <c r="T33" s="2">
        <f t="shared" si="2"/>
        <v>1004.3435484280518</v>
      </c>
      <c r="U33" s="6">
        <f t="shared" si="93"/>
        <v>0.26602191882199389</v>
      </c>
      <c r="V33" s="4">
        <f t="shared" si="94"/>
        <v>0.47174881503503913</v>
      </c>
      <c r="W33" s="4">
        <f t="shared" si="95"/>
        <v>0.89699181666899774</v>
      </c>
      <c r="X33" s="3">
        <f t="shared" si="96"/>
        <v>25.925485751606193</v>
      </c>
      <c r="Y33" s="8">
        <f t="shared" si="97"/>
        <v>13.749794095185896</v>
      </c>
      <c r="Z33" s="3">
        <f t="shared" si="98"/>
        <v>21.978943873551493</v>
      </c>
      <c r="AA33" s="3">
        <f t="shared" si="99"/>
        <v>11243.083755645081</v>
      </c>
      <c r="AB33" s="3"/>
      <c r="AC33" s="3"/>
      <c r="AD33" s="15"/>
    </row>
    <row r="34" spans="1:30" hidden="1">
      <c r="A34" s="7">
        <f t="shared" si="100"/>
        <v>490</v>
      </c>
      <c r="B34" s="3">
        <f t="shared" si="101"/>
        <v>614.65329399999996</v>
      </c>
      <c r="D34" s="1">
        <f t="shared" si="102"/>
        <v>32</v>
      </c>
      <c r="E34" s="2">
        <v>10</v>
      </c>
      <c r="F34" s="20">
        <v>10</v>
      </c>
      <c r="G34" s="2">
        <f t="shared" si="103"/>
        <v>7.0710678118654746</v>
      </c>
      <c r="H34" s="20">
        <f t="shared" si="0"/>
        <v>237</v>
      </c>
      <c r="I34" s="2">
        <f t="shared" si="104"/>
        <v>230</v>
      </c>
      <c r="J34" s="20">
        <f t="shared" si="105"/>
        <v>-377.65329399999996</v>
      </c>
      <c r="K34" s="2">
        <f t="shared" si="106"/>
        <v>230</v>
      </c>
      <c r="L34" s="2">
        <f t="shared" si="107"/>
        <v>442.17870874687128</v>
      </c>
      <c r="M34" s="2">
        <f t="shared" si="108"/>
        <v>1.6419708434782607</v>
      </c>
      <c r="N34" s="2">
        <f t="shared" si="109"/>
        <v>58.657573287791585</v>
      </c>
      <c r="P34" s="4">
        <f t="shared" si="110"/>
        <v>0.56185348111240274</v>
      </c>
      <c r="Q34" s="4">
        <f t="shared" si="111"/>
        <v>0.72331410408957131</v>
      </c>
      <c r="R34" s="4">
        <f t="shared" si="92"/>
        <v>1.6357958666518206E-3</v>
      </c>
      <c r="S34" s="4">
        <f t="shared" si="1"/>
        <v>0.61608576198424669</v>
      </c>
      <c r="T34" s="2">
        <f t="shared" si="2"/>
        <v>1004.3435484280518</v>
      </c>
      <c r="U34" s="6">
        <f t="shared" si="93"/>
        <v>0.27124185458044175</v>
      </c>
      <c r="V34" s="4">
        <f t="shared" si="94"/>
        <v>0.48276261284955518</v>
      </c>
      <c r="W34" s="4">
        <f t="shared" si="95"/>
        <v>0.90139895233196743</v>
      </c>
      <c r="X34" s="3">
        <f t="shared" si="96"/>
        <v>26.134543352921774</v>
      </c>
      <c r="Y34" s="8">
        <f t="shared" si="97"/>
        <v>13.593926736560764</v>
      </c>
      <c r="Z34" s="3">
        <f t="shared" si="98"/>
        <v>22.320831349812355</v>
      </c>
      <c r="AA34" s="3">
        <f t="shared" si="99"/>
        <v>11556.138633484077</v>
      </c>
      <c r="AB34" s="3"/>
      <c r="AC34" s="3"/>
      <c r="AD34" s="15"/>
    </row>
    <row r="35" spans="1:30" hidden="1">
      <c r="A35" s="7">
        <f t="shared" si="100"/>
        <v>490</v>
      </c>
      <c r="B35" s="3">
        <f t="shared" si="101"/>
        <v>614.65329399999996</v>
      </c>
      <c r="D35" s="1">
        <f t="shared" si="102"/>
        <v>33</v>
      </c>
      <c r="E35" s="2">
        <v>10</v>
      </c>
      <c r="F35" s="20">
        <v>10</v>
      </c>
      <c r="G35" s="2">
        <f t="shared" si="103"/>
        <v>7.0710678118654746</v>
      </c>
      <c r="H35" s="20">
        <f t="shared" ref="H35:H66" si="112">(MAX($D$3:$D$95)-D35+0.5)*E35-$AB$3</f>
        <v>227</v>
      </c>
      <c r="I35" s="2">
        <f t="shared" si="104"/>
        <v>230</v>
      </c>
      <c r="J35" s="20">
        <f t="shared" si="105"/>
        <v>-387.65329399999996</v>
      </c>
      <c r="K35" s="2">
        <f t="shared" si="106"/>
        <v>230</v>
      </c>
      <c r="L35" s="2">
        <f t="shared" si="107"/>
        <v>450.74946073073721</v>
      </c>
      <c r="M35" s="2">
        <f t="shared" si="108"/>
        <v>1.6854491043478259</v>
      </c>
      <c r="N35" s="2">
        <f t="shared" si="109"/>
        <v>59.318764487755807</v>
      </c>
      <c r="P35" s="4">
        <f t="shared" si="110"/>
        <v>0.55990764769289747</v>
      </c>
      <c r="Q35" s="4">
        <f t="shared" si="111"/>
        <v>0.71854648489074524</v>
      </c>
      <c r="R35" s="4">
        <f t="shared" si="92"/>
        <v>1.5941150184092647E-3</v>
      </c>
      <c r="S35" s="4">
        <f t="shared" ref="S35:S66" si="113">INDEX($Q$3:$Q$140, MATCH(MIN($R$3:$R$140),$R$3:$R$140,0))</f>
        <v>0.61608576198424669</v>
      </c>
      <c r="T35" s="2">
        <f t="shared" ref="T35:T66" si="114">INDEX($L$3:$L$140, MATCH(MIN($R$3:$R$140),$R$3:$R$140,0))</f>
        <v>1004.3435484280518</v>
      </c>
      <c r="U35" s="6">
        <f t="shared" si="93"/>
        <v>0.27649933671892168</v>
      </c>
      <c r="V35" s="4">
        <f t="shared" si="94"/>
        <v>0.49383025550416881</v>
      </c>
      <c r="W35" s="4">
        <f t="shared" si="95"/>
        <v>0.90569442579112003</v>
      </c>
      <c r="X35" s="3">
        <f t="shared" si="96"/>
        <v>26.336809645714066</v>
      </c>
      <c r="Y35" s="8">
        <f t="shared" si="97"/>
        <v>13.438654388391528</v>
      </c>
      <c r="Z35" s="3">
        <f t="shared" si="98"/>
        <v>22.650168002554473</v>
      </c>
      <c r="AA35" s="3">
        <f t="shared" si="99"/>
        <v>11871.302745173693</v>
      </c>
      <c r="AB35" s="3"/>
      <c r="AC35" s="3"/>
      <c r="AD35" s="15"/>
    </row>
    <row r="36" spans="1:30" hidden="1">
      <c r="A36" s="7">
        <f t="shared" si="100"/>
        <v>490</v>
      </c>
      <c r="B36" s="3">
        <f t="shared" si="101"/>
        <v>614.65329399999996</v>
      </c>
      <c r="D36" s="1">
        <f t="shared" si="102"/>
        <v>34</v>
      </c>
      <c r="E36" s="2">
        <v>10</v>
      </c>
      <c r="F36" s="20">
        <v>10</v>
      </c>
      <c r="G36" s="2">
        <f t="shared" si="103"/>
        <v>7.0710678118654746</v>
      </c>
      <c r="H36" s="20">
        <f t="shared" si="112"/>
        <v>217</v>
      </c>
      <c r="I36" s="2">
        <f t="shared" si="104"/>
        <v>230</v>
      </c>
      <c r="J36" s="20">
        <f t="shared" si="105"/>
        <v>-397.65329399999996</v>
      </c>
      <c r="K36" s="2">
        <f t="shared" si="106"/>
        <v>230</v>
      </c>
      <c r="L36" s="2">
        <f t="shared" si="107"/>
        <v>459.37799493342123</v>
      </c>
      <c r="M36" s="2">
        <f t="shared" si="108"/>
        <v>1.7289273652173911</v>
      </c>
      <c r="N36" s="2">
        <f t="shared" si="109"/>
        <v>59.95519940067274</v>
      </c>
      <c r="P36" s="4">
        <f t="shared" si="110"/>
        <v>0.55806065334572197</v>
      </c>
      <c r="Q36" s="4">
        <f t="shared" si="111"/>
        <v>0.71403199027190001</v>
      </c>
      <c r="R36" s="4">
        <f t="shared" si="92"/>
        <v>1.5543452192902413E-3</v>
      </c>
      <c r="S36" s="4">
        <f t="shared" si="113"/>
        <v>0.61608576198424669</v>
      </c>
      <c r="T36" s="2">
        <f t="shared" si="114"/>
        <v>1004.3435484280518</v>
      </c>
      <c r="U36" s="6">
        <f t="shared" si="93"/>
        <v>0.28179226370330657</v>
      </c>
      <c r="V36" s="4">
        <f t="shared" si="94"/>
        <v>0.50494916997621497</v>
      </c>
      <c r="W36" s="4">
        <f t="shared" si="95"/>
        <v>0.90987943839606633</v>
      </c>
      <c r="X36" s="3">
        <f t="shared" si="96"/>
        <v>26.532495596122637</v>
      </c>
      <c r="Y36" s="8">
        <f t="shared" si="97"/>
        <v>13.284210507280942</v>
      </c>
      <c r="Z36" s="3">
        <f t="shared" si="98"/>
        <v>22.967435071346422</v>
      </c>
      <c r="AA36" s="3">
        <f t="shared" si="99"/>
        <v>12188.444627526645</v>
      </c>
      <c r="AB36" s="3"/>
      <c r="AC36" s="3"/>
      <c r="AD36" s="15"/>
    </row>
    <row r="37" spans="1:30" hidden="1">
      <c r="A37" s="7">
        <f t="shared" si="100"/>
        <v>490</v>
      </c>
      <c r="B37" s="3">
        <f t="shared" si="101"/>
        <v>614.65329399999996</v>
      </c>
      <c r="D37" s="1">
        <f t="shared" si="102"/>
        <v>35</v>
      </c>
      <c r="E37" s="2">
        <v>10</v>
      </c>
      <c r="F37" s="20">
        <v>10</v>
      </c>
      <c r="G37" s="2">
        <f t="shared" si="103"/>
        <v>7.0710678118654746</v>
      </c>
      <c r="H37" s="20">
        <f t="shared" si="112"/>
        <v>207</v>
      </c>
      <c r="I37" s="2">
        <f t="shared" si="104"/>
        <v>230</v>
      </c>
      <c r="J37" s="20">
        <f t="shared" si="105"/>
        <v>-407.65329399999996</v>
      </c>
      <c r="K37" s="2">
        <f t="shared" si="106"/>
        <v>230</v>
      </c>
      <c r="L37" s="2">
        <f t="shared" si="107"/>
        <v>468.06111578409332</v>
      </c>
      <c r="M37" s="2">
        <f t="shared" si="108"/>
        <v>1.7724056260869563</v>
      </c>
      <c r="N37" s="2">
        <f t="shared" si="109"/>
        <v>60.568094289357603</v>
      </c>
      <c r="P37" s="4">
        <f t="shared" si="110"/>
        <v>0.55630549446057509</v>
      </c>
      <c r="Q37" s="4">
        <f t="shared" si="111"/>
        <v>0.70975189932206917</v>
      </c>
      <c r="R37" s="4">
        <f t="shared" si="92"/>
        <v>1.5163658663102078E-3</v>
      </c>
      <c r="S37" s="4">
        <f t="shared" si="113"/>
        <v>0.61608576198424669</v>
      </c>
      <c r="T37" s="2">
        <f t="shared" si="114"/>
        <v>1004.3435484280518</v>
      </c>
      <c r="U37" s="6">
        <f t="shared" si="93"/>
        <v>0.28711867530226637</v>
      </c>
      <c r="V37" s="4">
        <f t="shared" si="94"/>
        <v>0.51611691446742347</v>
      </c>
      <c r="W37" s="4">
        <f t="shared" si="95"/>
        <v>0.91395520955612841</v>
      </c>
      <c r="X37" s="3">
        <f t="shared" si="96"/>
        <v>26.721804558825529</v>
      </c>
      <c r="Y37" s="8">
        <f t="shared" si="97"/>
        <v>13.130796046225933</v>
      </c>
      <c r="Z37" s="3">
        <f t="shared" si="98"/>
        <v>23.273096787331205</v>
      </c>
      <c r="AA37" s="3">
        <f t="shared" si="99"/>
        <v>12507.437657568349</v>
      </c>
      <c r="AB37" s="3"/>
      <c r="AC37" s="3"/>
      <c r="AD37" s="15"/>
    </row>
    <row r="38" spans="1:30" hidden="1">
      <c r="A38" s="7">
        <f t="shared" si="19"/>
        <v>490</v>
      </c>
      <c r="B38" s="3">
        <f t="shared" si="20"/>
        <v>614.65329399999996</v>
      </c>
      <c r="D38" s="1">
        <f t="shared" si="102"/>
        <v>36</v>
      </c>
      <c r="E38" s="2">
        <v>10</v>
      </c>
      <c r="F38" s="20">
        <v>10</v>
      </c>
      <c r="G38" s="2">
        <f t="shared" si="22"/>
        <v>7.0710678118654746</v>
      </c>
      <c r="H38" s="20">
        <f t="shared" si="112"/>
        <v>197</v>
      </c>
      <c r="I38" s="2">
        <f t="shared" si="23"/>
        <v>230</v>
      </c>
      <c r="J38" s="20">
        <f t="shared" si="24"/>
        <v>-417.65329399999996</v>
      </c>
      <c r="K38" s="2">
        <f t="shared" si="25"/>
        <v>230</v>
      </c>
      <c r="L38" s="2">
        <f t="shared" si="39"/>
        <v>476.79584099386858</v>
      </c>
      <c r="M38" s="2">
        <f t="shared" si="40"/>
        <v>1.8158838869565215</v>
      </c>
      <c r="N38" s="2">
        <f t="shared" si="41"/>
        <v>61.158598684963764</v>
      </c>
      <c r="P38" s="4">
        <f t="shared" si="42"/>
        <v>0.55463579005374075</v>
      </c>
      <c r="Q38" s="4">
        <f t="shared" si="43"/>
        <v>0.70568922670604983</v>
      </c>
      <c r="R38" s="4">
        <f t="shared" ref="R38:R48" si="115">Q38/L38</f>
        <v>1.4800658186008061E-3</v>
      </c>
      <c r="S38" s="4">
        <f t="shared" si="113"/>
        <v>0.61608576198424669</v>
      </c>
      <c r="T38" s="2">
        <f t="shared" si="114"/>
        <v>1004.3435484280518</v>
      </c>
      <c r="U38" s="6">
        <f t="shared" ref="U38:U48" si="116">S38*L38/T38</f>
        <v>0.29247674211616687</v>
      </c>
      <c r="V38" s="4">
        <f t="shared" ref="V38:V48" si="117">U38/P38</f>
        <v>0.5273311736478955</v>
      </c>
      <c r="W38" s="4">
        <f t="shared" ref="W38:W48" si="118">POWER(V38*(1.9-0.9*V38),0.3)</f>
        <v>0.91792297002499734</v>
      </c>
      <c r="X38" s="3">
        <f t="shared" ref="X38:X48" si="119">0.6*A38*G38*E38*(1+0.5*SIN(N38*PI()/180)^1.5)*W38/1000</f>
        <v>26.904932098101156</v>
      </c>
      <c r="Y38" s="8">
        <f t="shared" ref="Y38:Y48" si="120">X38*COS(N38*PI()/180)</f>
        <v>12.97858297099291</v>
      </c>
      <c r="Z38" s="3">
        <f t="shared" ref="Z38:Z48" si="121">X38*SIN(N38*PI()/180)</f>
        <v>23.567599692554325</v>
      </c>
      <c r="AA38" s="3">
        <f t="shared" ref="AA38:AA48" si="122">L38*X38</f>
        <v>12828.15972659707</v>
      </c>
      <c r="AB38" s="3"/>
      <c r="AC38" s="3"/>
      <c r="AD38" s="15"/>
    </row>
    <row r="39" spans="1:30" hidden="1">
      <c r="A39" s="7">
        <f t="shared" si="19"/>
        <v>490</v>
      </c>
      <c r="B39" s="3">
        <f t="shared" si="20"/>
        <v>614.65329399999996</v>
      </c>
      <c r="D39" s="1">
        <f t="shared" si="102"/>
        <v>37</v>
      </c>
      <c r="E39" s="2">
        <v>10</v>
      </c>
      <c r="F39" s="20">
        <v>10</v>
      </c>
      <c r="G39" s="2">
        <f t="shared" si="22"/>
        <v>7.0710678118654746</v>
      </c>
      <c r="H39" s="20">
        <f t="shared" si="112"/>
        <v>187</v>
      </c>
      <c r="I39" s="2">
        <f t="shared" si="23"/>
        <v>230</v>
      </c>
      <c r="J39" s="20">
        <f t="shared" si="24"/>
        <v>-427.65329399999996</v>
      </c>
      <c r="K39" s="2">
        <f t="shared" si="25"/>
        <v>230</v>
      </c>
      <c r="L39" s="2">
        <f t="shared" si="39"/>
        <v>485.57938575381309</v>
      </c>
      <c r="M39" s="2">
        <f t="shared" si="40"/>
        <v>1.8593621478260869</v>
      </c>
      <c r="N39" s="2">
        <f t="shared" si="41"/>
        <v>61.727798712181844</v>
      </c>
      <c r="P39" s="4">
        <f t="shared" si="42"/>
        <v>0.55304571602842734</v>
      </c>
      <c r="Q39" s="4">
        <f t="shared" si="43"/>
        <v>0.70182853177815041</v>
      </c>
      <c r="R39" s="4">
        <f t="shared" si="115"/>
        <v>1.4453425173489034E-3</v>
      </c>
      <c r="S39" s="4">
        <f t="shared" si="113"/>
        <v>0.61608576198424669</v>
      </c>
      <c r="T39" s="2">
        <f t="shared" si="114"/>
        <v>1004.3435484280518</v>
      </c>
      <c r="U39" s="6">
        <f t="shared" si="116"/>
        <v>0.2978647558837893</v>
      </c>
      <c r="V39" s="4">
        <f t="shared" si="117"/>
        <v>0.53858975352496652</v>
      </c>
      <c r="W39" s="4">
        <f t="shared" si="118"/>
        <v>0.92178395575822092</v>
      </c>
      <c r="X39" s="3">
        <f t="shared" si="119"/>
        <v>27.082065918452727</v>
      </c>
      <c r="Y39" s="8">
        <f t="shared" si="120"/>
        <v>12.827717452573538</v>
      </c>
      <c r="Z39" s="3">
        <f t="shared" si="121"/>
        <v>23.851372274323317</v>
      </c>
      <c r="AA39" s="3">
        <f t="shared" si="122"/>
        <v>13150.49293362655</v>
      </c>
      <c r="AB39" s="3"/>
      <c r="AC39" s="3"/>
      <c r="AD39" s="15"/>
    </row>
    <row r="40" spans="1:30" hidden="1">
      <c r="A40" s="7">
        <f t="shared" si="19"/>
        <v>490</v>
      </c>
      <c r="B40" s="3">
        <f t="shared" si="20"/>
        <v>614.65329399999996</v>
      </c>
      <c r="D40" s="1">
        <f t="shared" si="102"/>
        <v>38</v>
      </c>
      <c r="E40" s="2">
        <v>10</v>
      </c>
      <c r="F40" s="20">
        <v>10</v>
      </c>
      <c r="G40" s="2">
        <f t="shared" si="22"/>
        <v>7.0710678118654746</v>
      </c>
      <c r="H40" s="20">
        <f t="shared" si="112"/>
        <v>177</v>
      </c>
      <c r="I40" s="2">
        <f t="shared" si="23"/>
        <v>230</v>
      </c>
      <c r="J40" s="20">
        <f t="shared" si="24"/>
        <v>-437.65329399999996</v>
      </c>
      <c r="K40" s="2">
        <f t="shared" si="25"/>
        <v>230</v>
      </c>
      <c r="L40" s="2">
        <f t="shared" si="39"/>
        <v>494.409148124355</v>
      </c>
      <c r="M40" s="2">
        <f t="shared" si="40"/>
        <v>1.9028404086956521</v>
      </c>
      <c r="N40" s="2">
        <f t="shared" si="41"/>
        <v>62.276720378155254</v>
      </c>
      <c r="P40" s="4">
        <f t="shared" si="42"/>
        <v>0.55152994741949324</v>
      </c>
      <c r="Q40" s="4">
        <f t="shared" si="43"/>
        <v>0.69815575179890466</v>
      </c>
      <c r="R40" s="4">
        <f t="shared" si="115"/>
        <v>1.4121012008930362E-3</v>
      </c>
      <c r="S40" s="4">
        <f t="shared" si="113"/>
        <v>0.61608576198424669</v>
      </c>
      <c r="T40" s="2">
        <f t="shared" si="114"/>
        <v>1004.3435484280518</v>
      </c>
      <c r="U40" s="6">
        <f t="shared" si="116"/>
        <v>0.30328112051988365</v>
      </c>
      <c r="V40" s="4">
        <f t="shared" si="117"/>
        <v>0.54989057609451675</v>
      </c>
      <c r="W40" s="4">
        <f t="shared" si="118"/>
        <v>0.92553940235146503</v>
      </c>
      <c r="X40" s="3">
        <f t="shared" si="119"/>
        <v>27.253385882054879</v>
      </c>
      <c r="Y40" s="8">
        <f t="shared" si="120"/>
        <v>12.678322754853252</v>
      </c>
      <c r="Z40" s="3">
        <f t="shared" si="121"/>
        <v>24.124824852420346</v>
      </c>
      <c r="AA40" s="3">
        <f t="shared" si="122"/>
        <v>13474.323297451076</v>
      </c>
      <c r="AB40" s="3"/>
      <c r="AC40" s="3"/>
      <c r="AD40" s="15"/>
    </row>
    <row r="41" spans="1:30" hidden="1">
      <c r="A41" s="7">
        <f t="shared" si="19"/>
        <v>490</v>
      </c>
      <c r="B41" s="3">
        <f t="shared" si="20"/>
        <v>614.65329399999996</v>
      </c>
      <c r="D41" s="1">
        <f t="shared" si="102"/>
        <v>39</v>
      </c>
      <c r="E41" s="2">
        <v>10</v>
      </c>
      <c r="F41" s="20">
        <v>10</v>
      </c>
      <c r="G41" s="2">
        <f t="shared" si="22"/>
        <v>7.0710678118654746</v>
      </c>
      <c r="H41" s="20">
        <f t="shared" si="112"/>
        <v>167</v>
      </c>
      <c r="I41" s="2">
        <f t="shared" si="23"/>
        <v>230</v>
      </c>
      <c r="J41" s="20">
        <f t="shared" si="24"/>
        <v>-447.65329399999996</v>
      </c>
      <c r="K41" s="2">
        <f t="shared" si="25"/>
        <v>230</v>
      </c>
      <c r="L41" s="2">
        <f t="shared" si="39"/>
        <v>503.28269553904829</v>
      </c>
      <c r="M41" s="2">
        <f t="shared" si="40"/>
        <v>1.9463186695652173</v>
      </c>
      <c r="N41" s="2">
        <f t="shared" si="41"/>
        <v>62.806332792669707</v>
      </c>
      <c r="P41" s="4">
        <f t="shared" si="42"/>
        <v>0.55008360752863483</v>
      </c>
      <c r="Q41" s="4">
        <f t="shared" si="43"/>
        <v>0.69465805583325668</v>
      </c>
      <c r="R41" s="4">
        <f t="shared" si="115"/>
        <v>1.3802542030363928E-3</v>
      </c>
      <c r="S41" s="4">
        <f t="shared" si="113"/>
        <v>0.61608576198424669</v>
      </c>
      <c r="T41" s="2">
        <f t="shared" si="114"/>
        <v>1004.3435484280518</v>
      </c>
      <c r="U41" s="6">
        <f t="shared" si="116"/>
        <v>0.30872434383628877</v>
      </c>
      <c r="V41" s="4">
        <f t="shared" si="117"/>
        <v>0.56123167389644124</v>
      </c>
      <c r="W41" s="4">
        <f t="shared" si="118"/>
        <v>0.92919054004874324</v>
      </c>
      <c r="X41" s="3">
        <f t="shared" si="119"/>
        <v>27.419064094142627</v>
      </c>
      <c r="Y41" s="8">
        <f t="shared" si="120"/>
        <v>12.530501838332146</v>
      </c>
      <c r="Z41" s="3">
        <f t="shared" si="121"/>
        <v>24.388349666967137</v>
      </c>
      <c r="AA41" s="3">
        <f t="shared" si="122"/>
        <v>13799.540486458034</v>
      </c>
      <c r="AB41" s="3"/>
      <c r="AC41" s="3"/>
      <c r="AD41" s="15"/>
    </row>
    <row r="42" spans="1:30" hidden="1">
      <c r="A42" s="7">
        <f t="shared" si="19"/>
        <v>490</v>
      </c>
      <c r="B42" s="3">
        <f t="shared" si="20"/>
        <v>614.65329399999996</v>
      </c>
      <c r="D42" s="1">
        <f t="shared" si="102"/>
        <v>40</v>
      </c>
      <c r="E42" s="2">
        <v>10</v>
      </c>
      <c r="F42" s="20">
        <v>10</v>
      </c>
      <c r="G42" s="2">
        <f t="shared" si="22"/>
        <v>7.0710678118654746</v>
      </c>
      <c r="H42" s="20">
        <f t="shared" si="112"/>
        <v>157</v>
      </c>
      <c r="I42" s="2">
        <f t="shared" si="23"/>
        <v>230</v>
      </c>
      <c r="J42" s="20">
        <f t="shared" si="24"/>
        <v>-457.65329399999996</v>
      </c>
      <c r="K42" s="2">
        <f t="shared" si="25"/>
        <v>230</v>
      </c>
      <c r="L42" s="2">
        <f t="shared" si="39"/>
        <v>512.19775234673807</v>
      </c>
      <c r="M42" s="2">
        <f t="shared" si="40"/>
        <v>1.9897969304347825</v>
      </c>
      <c r="N42" s="2">
        <f t="shared" si="41"/>
        <v>63.317551295653416</v>
      </c>
      <c r="P42" s="4">
        <f t="shared" si="42"/>
        <v>0.54870222302315008</v>
      </c>
      <c r="Q42" s="4">
        <f t="shared" si="43"/>
        <v>0.69132371644712853</v>
      </c>
      <c r="R42" s="4">
        <f t="shared" si="115"/>
        <v>1.3497203243858227E-3</v>
      </c>
      <c r="S42" s="4">
        <f t="shared" si="113"/>
        <v>0.61608576198424669</v>
      </c>
      <c r="T42" s="2">
        <f t="shared" si="114"/>
        <v>1004.3435484280518</v>
      </c>
      <c r="U42" s="6">
        <f t="shared" si="116"/>
        <v>0.31419302990003151</v>
      </c>
      <c r="V42" s="4">
        <f t="shared" si="117"/>
        <v>0.57261118456736326</v>
      </c>
      <c r="W42" s="4">
        <f t="shared" si="118"/>
        <v>0.93273858929723374</v>
      </c>
      <c r="X42" s="3">
        <f t="shared" si="119"/>
        <v>27.579265040746176</v>
      </c>
      <c r="Y42" s="8">
        <f t="shared" si="120"/>
        <v>12.384339701431369</v>
      </c>
      <c r="Z42" s="3">
        <f t="shared" si="121"/>
        <v>24.642321123369751</v>
      </c>
      <c r="AA42" s="3">
        <f t="shared" si="122"/>
        <v>14126.03756524516</v>
      </c>
      <c r="AB42" s="3"/>
      <c r="AC42" s="3"/>
      <c r="AD42" s="15"/>
    </row>
    <row r="43" spans="1:30" hidden="1">
      <c r="A43" s="7">
        <f t="shared" si="19"/>
        <v>490</v>
      </c>
      <c r="B43" s="3">
        <f t="shared" si="20"/>
        <v>614.65329399999996</v>
      </c>
      <c r="D43" s="1">
        <f t="shared" si="102"/>
        <v>41</v>
      </c>
      <c r="E43" s="2">
        <v>10</v>
      </c>
      <c r="F43" s="20">
        <v>10</v>
      </c>
      <c r="G43" s="2">
        <f t="shared" si="22"/>
        <v>7.0710678118654746</v>
      </c>
      <c r="H43" s="20">
        <f t="shared" si="112"/>
        <v>147</v>
      </c>
      <c r="I43" s="2">
        <f t="shared" si="23"/>
        <v>230</v>
      </c>
      <c r="J43" s="20">
        <f t="shared" si="24"/>
        <v>-467.65329399999996</v>
      </c>
      <c r="K43" s="2">
        <f t="shared" si="25"/>
        <v>230</v>
      </c>
      <c r="L43" s="2">
        <f t="shared" si="39"/>
        <v>521.15218831839366</v>
      </c>
      <c r="M43" s="2">
        <f t="shared" si="40"/>
        <v>2.0332751913043476</v>
      </c>
      <c r="N43" s="2">
        <f t="shared" si="41"/>
        <v>63.811240474858259</v>
      </c>
      <c r="P43" s="4">
        <f t="shared" si="42"/>
        <v>0.54738168421022404</v>
      </c>
      <c r="Q43" s="4">
        <f t="shared" si="43"/>
        <v>0.68814199676473042</v>
      </c>
      <c r="R43" s="4">
        <f t="shared" si="115"/>
        <v>1.3204242679766237E-3</v>
      </c>
      <c r="S43" s="4">
        <f t="shared" si="113"/>
        <v>0.61608576198424669</v>
      </c>
      <c r="T43" s="2">
        <f t="shared" si="114"/>
        <v>1004.3435484280518</v>
      </c>
      <c r="U43" s="6">
        <f t="shared" si="116"/>
        <v>0.31968587198317233</v>
      </c>
      <c r="V43" s="4">
        <f t="shared" si="117"/>
        <v>0.58402734546082424</v>
      </c>
      <c r="W43" s="4">
        <f t="shared" si="118"/>
        <v>0.93618475681728175</v>
      </c>
      <c r="X43" s="3">
        <f t="shared" si="119"/>
        <v>27.734145765950625</v>
      </c>
      <c r="Y43" s="8">
        <f t="shared" si="120"/>
        <v>12.239905480875647</v>
      </c>
      <c r="Z43" s="3">
        <f t="shared" si="121"/>
        <v>24.887096158174565</v>
      </c>
      <c r="AA43" s="3">
        <f t="shared" si="122"/>
        <v>14453.710757066481</v>
      </c>
      <c r="AB43" s="3"/>
      <c r="AC43" s="3"/>
      <c r="AD43" s="15"/>
    </row>
    <row r="44" spans="1:30" hidden="1">
      <c r="A44" s="7">
        <f t="shared" si="19"/>
        <v>490</v>
      </c>
      <c r="B44" s="3">
        <f t="shared" si="20"/>
        <v>614.65329399999996</v>
      </c>
      <c r="D44" s="1">
        <f t="shared" si="102"/>
        <v>42</v>
      </c>
      <c r="E44" s="2">
        <v>10</v>
      </c>
      <c r="F44" s="20">
        <v>10</v>
      </c>
      <c r="G44" s="2">
        <f t="shared" si="22"/>
        <v>7.0710678118654746</v>
      </c>
      <c r="H44" s="20">
        <f t="shared" si="112"/>
        <v>137</v>
      </c>
      <c r="I44" s="2">
        <f t="shared" si="23"/>
        <v>230</v>
      </c>
      <c r="J44" s="20">
        <f t="shared" si="24"/>
        <v>-477.65329399999996</v>
      </c>
      <c r="K44" s="2">
        <f t="shared" si="25"/>
        <v>230</v>
      </c>
      <c r="L44" s="2">
        <f t="shared" si="39"/>
        <v>530.14400804786089</v>
      </c>
      <c r="M44" s="2">
        <f t="shared" si="40"/>
        <v>2.0767534521739131</v>
      </c>
      <c r="N44" s="2">
        <f t="shared" si="41"/>
        <v>64.288217062060824</v>
      </c>
      <c r="P44" s="4">
        <f t="shared" si="42"/>
        <v>0.54611820981454473</v>
      </c>
      <c r="Q44" s="4">
        <f t="shared" si="43"/>
        <v>0.68510305081887146</v>
      </c>
      <c r="R44" s="4">
        <f t="shared" si="115"/>
        <v>1.292296131652253E-3</v>
      </c>
      <c r="S44" s="4">
        <f t="shared" si="113"/>
        <v>0.61608576198424669</v>
      </c>
      <c r="T44" s="2">
        <f t="shared" si="114"/>
        <v>1004.3435484280518</v>
      </c>
      <c r="U44" s="6">
        <f t="shared" si="116"/>
        <v>0.32520164606100088</v>
      </c>
      <c r="V44" s="4">
        <f t="shared" si="117"/>
        <v>0.59547848838703898</v>
      </c>
      <c r="W44" s="4">
        <f t="shared" si="118"/>
        <v>0.9395302321515091</v>
      </c>
      <c r="X44" s="3">
        <f t="shared" si="119"/>
        <v>27.88385607819534</v>
      </c>
      <c r="Y44" s="8">
        <f t="shared" si="120"/>
        <v>12.097254332083185</v>
      </c>
      <c r="Z44" s="3">
        <f t="shared" si="121"/>
        <v>25.123014695979577</v>
      </c>
      <c r="AA44" s="3">
        <f t="shared" si="122"/>
        <v>14782.459221124185</v>
      </c>
      <c r="AB44" s="3"/>
      <c r="AC44" s="3"/>
      <c r="AD44" s="15"/>
    </row>
    <row r="45" spans="1:30" hidden="1">
      <c r="A45" s="7">
        <f t="shared" si="19"/>
        <v>490</v>
      </c>
      <c r="B45" s="3">
        <f t="shared" si="20"/>
        <v>614.65329399999996</v>
      </c>
      <c r="D45" s="1">
        <f t="shared" si="102"/>
        <v>43</v>
      </c>
      <c r="E45" s="2">
        <v>10</v>
      </c>
      <c r="F45" s="20">
        <v>10</v>
      </c>
      <c r="G45" s="2">
        <f t="shared" si="22"/>
        <v>7.0710678118654746</v>
      </c>
      <c r="H45" s="20">
        <f t="shared" si="112"/>
        <v>127</v>
      </c>
      <c r="I45" s="2">
        <f t="shared" si="23"/>
        <v>230</v>
      </c>
      <c r="J45" s="20">
        <f t="shared" si="24"/>
        <v>-487.65329399999996</v>
      </c>
      <c r="K45" s="2">
        <f t="shared" si="25"/>
        <v>230</v>
      </c>
      <c r="L45" s="2">
        <f t="shared" si="39"/>
        <v>539.17134117926776</v>
      </c>
      <c r="M45" s="2">
        <f t="shared" si="40"/>
        <v>2.120231713043478</v>
      </c>
      <c r="N45" s="2">
        <f t="shared" si="41"/>
        <v>64.749252700464567</v>
      </c>
      <c r="P45" s="4">
        <f t="shared" si="42"/>
        <v>0.54490831568411413</v>
      </c>
      <c r="Q45" s="4">
        <f t="shared" si="43"/>
        <v>0.68219783543484214</v>
      </c>
      <c r="R45" s="4">
        <f t="shared" si="115"/>
        <v>1.2652709506828551E-3</v>
      </c>
      <c r="S45" s="4">
        <f t="shared" si="113"/>
        <v>0.61608576198424669</v>
      </c>
      <c r="T45" s="2">
        <f t="shared" si="114"/>
        <v>1004.3435484280518</v>
      </c>
      <c r="U45" s="6">
        <f t="shared" si="116"/>
        <v>0.33073920481731811</v>
      </c>
      <c r="V45" s="4">
        <f t="shared" si="117"/>
        <v>0.60696303450991773</v>
      </c>
      <c r="W45" s="4">
        <f t="shared" si="118"/>
        <v>0.94277618465468549</v>
      </c>
      <c r="X45" s="3">
        <f t="shared" si="119"/>
        <v>28.028538777083401</v>
      </c>
      <c r="Y45" s="8">
        <f t="shared" si="120"/>
        <v>11.956429109583881</v>
      </c>
      <c r="Z45" s="3">
        <f t="shared" si="121"/>
        <v>25.350400172895952</v>
      </c>
      <c r="AA45" s="3">
        <f t="shared" si="122"/>
        <v>15112.184843735171</v>
      </c>
      <c r="AB45" s="3"/>
      <c r="AC45" s="3"/>
      <c r="AD45" s="15"/>
    </row>
    <row r="46" spans="1:30" hidden="1">
      <c r="A46" s="7">
        <f t="shared" si="19"/>
        <v>490</v>
      </c>
      <c r="B46" s="3">
        <f t="shared" si="20"/>
        <v>614.65329399999996</v>
      </c>
      <c r="D46" s="1">
        <f t="shared" si="102"/>
        <v>44</v>
      </c>
      <c r="E46" s="2">
        <v>10</v>
      </c>
      <c r="F46" s="20">
        <v>10</v>
      </c>
      <c r="G46" s="2">
        <f t="shared" si="22"/>
        <v>7.0710678118654746</v>
      </c>
      <c r="H46" s="20">
        <f t="shared" si="112"/>
        <v>117</v>
      </c>
      <c r="I46" s="2">
        <f t="shared" si="23"/>
        <v>230</v>
      </c>
      <c r="J46" s="20">
        <f t="shared" si="24"/>
        <v>-497.65329399999996</v>
      </c>
      <c r="K46" s="2">
        <f t="shared" si="25"/>
        <v>230</v>
      </c>
      <c r="L46" s="2">
        <f t="shared" si="39"/>
        <v>548.23243339759676</v>
      </c>
      <c r="M46" s="2">
        <f t="shared" si="40"/>
        <v>2.1637099739130434</v>
      </c>
      <c r="N46" s="2">
        <f t="shared" si="41"/>
        <v>65.195076579401388</v>
      </c>
      <c r="P46" s="4">
        <f t="shared" si="42"/>
        <v>0.54374878693073558</v>
      </c>
      <c r="Q46" s="4">
        <f t="shared" si="43"/>
        <v>0.67941803214640439</v>
      </c>
      <c r="R46" s="4">
        <f t="shared" si="115"/>
        <v>1.2392882849630083E-3</v>
      </c>
      <c r="S46" s="4">
        <f t="shared" si="113"/>
        <v>0.61608576198424669</v>
      </c>
      <c r="T46" s="2">
        <f t="shared" si="114"/>
        <v>1004.3435484280518</v>
      </c>
      <c r="U46" s="6">
        <f t="shared" si="116"/>
        <v>0.33629747211786082</v>
      </c>
      <c r="V46" s="4">
        <f t="shared" si="117"/>
        <v>0.61847948942771513</v>
      </c>
      <c r="W46" s="4">
        <f t="shared" si="118"/>
        <v>0.94592376088547037</v>
      </c>
      <c r="X46" s="3">
        <f t="shared" si="119"/>
        <v>28.168329893803875</v>
      </c>
      <c r="Y46" s="8">
        <f t="shared" si="120"/>
        <v>11.817461866354598</v>
      </c>
      <c r="Z46" s="3">
        <f t="shared" si="121"/>
        <v>25.56956010656851</v>
      </c>
      <c r="AA46" s="3">
        <f t="shared" si="122"/>
        <v>15442.792042426367</v>
      </c>
      <c r="AB46" s="3"/>
      <c r="AC46" s="3"/>
      <c r="AD46" s="15"/>
    </row>
    <row r="47" spans="1:30" hidden="1">
      <c r="A47" s="7">
        <f t="shared" si="19"/>
        <v>490</v>
      </c>
      <c r="B47" s="3">
        <f t="shared" si="20"/>
        <v>614.65329399999996</v>
      </c>
      <c r="D47" s="1">
        <f t="shared" si="102"/>
        <v>45</v>
      </c>
      <c r="E47" s="2">
        <v>10</v>
      </c>
      <c r="F47" s="20">
        <v>10</v>
      </c>
      <c r="G47" s="2">
        <f t="shared" si="22"/>
        <v>7.0710678118654746</v>
      </c>
      <c r="H47" s="20">
        <f t="shared" si="112"/>
        <v>107</v>
      </c>
      <c r="I47" s="2">
        <f t="shared" si="23"/>
        <v>230</v>
      </c>
      <c r="J47" s="20">
        <f t="shared" si="24"/>
        <v>-507.65329399999996</v>
      </c>
      <c r="K47" s="2">
        <f t="shared" si="25"/>
        <v>230</v>
      </c>
      <c r="L47" s="2">
        <f t="shared" si="39"/>
        <v>557.32563812285753</v>
      </c>
      <c r="M47" s="2">
        <f t="shared" si="40"/>
        <v>2.2071882347826084</v>
      </c>
      <c r="N47" s="2">
        <f t="shared" si="41"/>
        <v>65.626377935091398</v>
      </c>
      <c r="P47" s="4">
        <f t="shared" si="42"/>
        <v>0.54263665308051734</v>
      </c>
      <c r="Q47" s="4">
        <f t="shared" si="43"/>
        <v>0.67675597785888209</v>
      </c>
      <c r="R47" s="4">
        <f t="shared" si="115"/>
        <v>1.2142918458556489E-3</v>
      </c>
      <c r="S47" s="4">
        <f t="shared" si="113"/>
        <v>0.61608576198424669</v>
      </c>
      <c r="T47" s="2">
        <f t="shared" si="114"/>
        <v>1004.3435484280518</v>
      </c>
      <c r="U47" s="6">
        <f t="shared" si="116"/>
        <v>0.34187543791533054</v>
      </c>
      <c r="V47" s="4">
        <f t="shared" si="117"/>
        <v>0.63002643845476192</v>
      </c>
      <c r="W47" s="4">
        <f t="shared" si="118"/>
        <v>0.94897408236177283</v>
      </c>
      <c r="X47" s="3">
        <f t="shared" si="119"/>
        <v>28.303358939625308</v>
      </c>
      <c r="Y47" s="8">
        <f t="shared" si="120"/>
        <v>11.680375189699777</v>
      </c>
      <c r="Z47" s="3">
        <f t="shared" si="121"/>
        <v>25.780786696552024</v>
      </c>
      <c r="AA47" s="3">
        <f t="shared" si="122"/>
        <v>15774.18758204696</v>
      </c>
      <c r="AB47" s="3"/>
      <c r="AC47" s="3"/>
      <c r="AD47" s="15"/>
    </row>
    <row r="48" spans="1:30" hidden="1">
      <c r="A48" s="7">
        <f t="shared" si="19"/>
        <v>490</v>
      </c>
      <c r="B48" s="3">
        <f t="shared" si="20"/>
        <v>614.65329399999996</v>
      </c>
      <c r="D48" s="1">
        <f t="shared" si="102"/>
        <v>46</v>
      </c>
      <c r="E48" s="2">
        <v>10</v>
      </c>
      <c r="F48" s="20">
        <v>10</v>
      </c>
      <c r="G48" s="2">
        <f t="shared" si="22"/>
        <v>7.0710678118654746</v>
      </c>
      <c r="H48" s="20">
        <f t="shared" si="112"/>
        <v>97</v>
      </c>
      <c r="I48" s="2">
        <f t="shared" si="23"/>
        <v>230</v>
      </c>
      <c r="J48" s="20">
        <f t="shared" si="24"/>
        <v>-517.65329399999996</v>
      </c>
      <c r="K48" s="2">
        <f t="shared" si="25"/>
        <v>230</v>
      </c>
      <c r="L48" s="2">
        <f t="shared" si="39"/>
        <v>566.44940885223843</v>
      </c>
      <c r="M48" s="2">
        <f t="shared" si="40"/>
        <v>2.2506664956521738</v>
      </c>
      <c r="N48" s="2">
        <f t="shared" si="41"/>
        <v>66.043808418265272</v>
      </c>
      <c r="P48" s="4">
        <f t="shared" si="42"/>
        <v>0.54156916586802128</v>
      </c>
      <c r="Q48" s="4">
        <f t="shared" si="43"/>
        <v>0.67420460315665731</v>
      </c>
      <c r="R48" s="4">
        <f t="shared" si="115"/>
        <v>1.1902291583687176E-3</v>
      </c>
      <c r="S48" s="4">
        <f t="shared" si="113"/>
        <v>0.61608576198424669</v>
      </c>
      <c r="T48" s="2">
        <f t="shared" si="114"/>
        <v>1004.3435484280518</v>
      </c>
      <c r="U48" s="6">
        <f t="shared" si="116"/>
        <v>0.34747215355190525</v>
      </c>
      <c r="V48" s="4">
        <f t="shared" si="117"/>
        <v>0.6416025421147834</v>
      </c>
      <c r="W48" s="4">
        <f t="shared" si="118"/>
        <v>0.95192824364291795</v>
      </c>
      <c r="X48" s="3">
        <f t="shared" si="119"/>
        <v>28.433749158042431</v>
      </c>
      <c r="Y48" s="8">
        <f t="shared" si="120"/>
        <v>11.545183389988667</v>
      </c>
      <c r="Z48" s="3">
        <f t="shared" si="121"/>
        <v>25.984357442007457</v>
      </c>
      <c r="AA48" s="3">
        <f t="shared" si="122"/>
        <v>16106.280402025968</v>
      </c>
      <c r="AB48" s="3"/>
      <c r="AC48" s="3"/>
      <c r="AD48" s="15"/>
    </row>
    <row r="49" spans="1:30" hidden="1">
      <c r="A49" s="7">
        <f t="shared" si="19"/>
        <v>490</v>
      </c>
      <c r="B49" s="3">
        <f t="shared" si="20"/>
        <v>614.65329399999996</v>
      </c>
      <c r="D49" s="1">
        <f t="shared" ref="D49:D71" si="123">D48+1</f>
        <v>47</v>
      </c>
      <c r="E49" s="2">
        <v>10</v>
      </c>
      <c r="F49" s="20">
        <v>10</v>
      </c>
      <c r="G49" s="2">
        <f t="shared" ref="G49:G71" si="124">F49/SQRT(2)</f>
        <v>7.0710678118654746</v>
      </c>
      <c r="H49" s="20">
        <f t="shared" si="112"/>
        <v>87</v>
      </c>
      <c r="I49" s="2">
        <f t="shared" ref="I49:I71" si="125">I48</f>
        <v>230</v>
      </c>
      <c r="J49" s="20">
        <f t="shared" ref="J49:J71" si="126">H49-B49</f>
        <v>-527.65329399999996</v>
      </c>
      <c r="K49" s="2">
        <f t="shared" ref="K49:K71" si="127">I49</f>
        <v>230</v>
      </c>
      <c r="L49" s="2">
        <f t="shared" ref="L49:L71" si="128">SQRT(J49^2+K49^2)</f>
        <v>575.60229209850297</v>
      </c>
      <c r="M49" s="2">
        <f t="shared" ref="M49:M71" si="129">ABS(J49/K49)</f>
        <v>2.2941447565217388</v>
      </c>
      <c r="N49" s="2">
        <f t="shared" ref="N49:N71" si="130">ATAN(M49)*180/PI()</f>
        <v>66.447984331000129</v>
      </c>
      <c r="P49" s="4">
        <f t="shared" ref="P49:P71" si="131">0.209 * (N49+2)^-0.32 * F49</f>
        <v>0.54054377935717302</v>
      </c>
      <c r="Q49" s="4">
        <f t="shared" ref="Q49:Q71" si="132">MIN(1.087*(N49+6)^-0.65 * F49, 0.17*F49)</f>
        <v>0.67175737730632679</v>
      </c>
      <c r="R49" s="4">
        <f t="shared" ref="R49:R71" si="133">Q49/L49</f>
        <v>1.1670512548816758E-3</v>
      </c>
      <c r="S49" s="4">
        <f t="shared" si="113"/>
        <v>0.61608576198424669</v>
      </c>
      <c r="T49" s="2">
        <f t="shared" si="114"/>
        <v>1004.3435484280518</v>
      </c>
      <c r="U49" s="6">
        <f t="shared" ref="U49:U71" si="134">S49*L49/T49</f>
        <v>0.35308672742750147</v>
      </c>
      <c r="V49" s="4">
        <f t="shared" ref="V49:V71" si="135">U49/P49</f>
        <v>0.65320653185094513</v>
      </c>
      <c r="W49" s="4">
        <f t="shared" ref="W49:W71" si="136">POWER(V49*(1.9-0.9*V49),0.3)</f>
        <v>0.9547873107037661</v>
      </c>
      <c r="X49" s="3">
        <f t="shared" ref="X49:X71" si="137">0.6*A49*G49*E49*(1+0.5*SIN(N49*PI()/180)^1.5)*W49/1000</f>
        <v>28.559617777084746</v>
      </c>
      <c r="Y49" s="8">
        <f t="shared" ref="Y49:Y71" si="138">X49*COS(N49*PI()/180)</f>
        <v>11.411893557236541</v>
      </c>
      <c r="Z49" s="3">
        <f t="shared" ref="Z49:Z71" si="139">X49*SIN(N49*PI()/180)</f>
        <v>26.180535766318425</v>
      </c>
      <c r="AA49" s="3">
        <f t="shared" ref="AA49:AA71" si="140">L49*X49</f>
        <v>16438.981453947134</v>
      </c>
      <c r="AB49" s="3"/>
      <c r="AC49" s="3"/>
      <c r="AD49" s="15"/>
    </row>
    <row r="50" spans="1:30" hidden="1">
      <c r="A50" s="7">
        <f t="shared" si="19"/>
        <v>490</v>
      </c>
      <c r="B50" s="3">
        <f t="shared" si="20"/>
        <v>614.65329399999996</v>
      </c>
      <c r="D50" s="1">
        <f t="shared" si="123"/>
        <v>48</v>
      </c>
      <c r="E50" s="2">
        <v>10</v>
      </c>
      <c r="F50" s="20">
        <v>10</v>
      </c>
      <c r="G50" s="2">
        <f t="shared" si="124"/>
        <v>7.0710678118654746</v>
      </c>
      <c r="H50" s="20">
        <f t="shared" si="112"/>
        <v>77</v>
      </c>
      <c r="I50" s="2">
        <f t="shared" si="125"/>
        <v>230</v>
      </c>
      <c r="J50" s="20">
        <f t="shared" si="126"/>
        <v>-537.65329399999996</v>
      </c>
      <c r="K50" s="2">
        <f t="shared" si="127"/>
        <v>230</v>
      </c>
      <c r="L50" s="2">
        <f t="shared" si="128"/>
        <v>584.78292087667057</v>
      </c>
      <c r="M50" s="2">
        <f t="shared" si="129"/>
        <v>2.3376230173913042</v>
      </c>
      <c r="N50" s="2">
        <f t="shared" si="130"/>
        <v>66.839488736266162</v>
      </c>
      <c r="P50" s="4">
        <f t="shared" si="131"/>
        <v>0.53955813211420189</v>
      </c>
      <c r="Q50" s="4">
        <f t="shared" si="132"/>
        <v>0.6694082591372077</v>
      </c>
      <c r="R50" s="4">
        <f t="shared" si="133"/>
        <v>1.1447123970954418E-3</v>
      </c>
      <c r="S50" s="4">
        <f t="shared" si="113"/>
        <v>0.61608576198424669</v>
      </c>
      <c r="T50" s="2">
        <f t="shared" si="114"/>
        <v>1004.3435484280518</v>
      </c>
      <c r="U50" s="6">
        <f t="shared" si="134"/>
        <v>0.35871832100436513</v>
      </c>
      <c r="V50" s="4">
        <f t="shared" si="135"/>
        <v>0.66483720595362916</v>
      </c>
      <c r="W50" s="4">
        <f t="shared" si="136"/>
        <v>0.95755231956817566</v>
      </c>
      <c r="X50" s="3">
        <f t="shared" si="137"/>
        <v>28.68107625905802</v>
      </c>
      <c r="Y50" s="8">
        <f t="shared" si="138"/>
        <v>11.280506499222064</v>
      </c>
      <c r="Z50" s="3">
        <f t="shared" si="139"/>
        <v>26.369571640413699</v>
      </c>
      <c r="AA50" s="3">
        <f t="shared" si="140"/>
        <v>16772.203548658483</v>
      </c>
      <c r="AB50" s="3"/>
      <c r="AC50" s="3"/>
      <c r="AD50" s="15"/>
    </row>
    <row r="51" spans="1:30" hidden="1">
      <c r="A51" s="7">
        <f t="shared" si="19"/>
        <v>490</v>
      </c>
      <c r="B51" s="3">
        <f t="shared" si="20"/>
        <v>614.65329399999996</v>
      </c>
      <c r="D51" s="1">
        <f t="shared" si="123"/>
        <v>49</v>
      </c>
      <c r="E51" s="2">
        <v>10</v>
      </c>
      <c r="F51" s="20">
        <v>10</v>
      </c>
      <c r="G51" s="2">
        <f t="shared" si="124"/>
        <v>7.0710678118654746</v>
      </c>
      <c r="H51" s="20">
        <f t="shared" si="112"/>
        <v>67</v>
      </c>
      <c r="I51" s="2">
        <f t="shared" si="125"/>
        <v>230</v>
      </c>
      <c r="J51" s="20">
        <f t="shared" si="126"/>
        <v>-547.65329399999996</v>
      </c>
      <c r="K51" s="2">
        <f t="shared" si="127"/>
        <v>230</v>
      </c>
      <c r="L51" s="2">
        <f t="shared" si="128"/>
        <v>593.99000869463316</v>
      </c>
      <c r="M51" s="2">
        <f t="shared" si="129"/>
        <v>2.3811012782608696</v>
      </c>
      <c r="N51" s="2">
        <f t="shared" si="130"/>
        <v>67.218873444504695</v>
      </c>
      <c r="P51" s="4">
        <f t="shared" si="131"/>
        <v>0.5386100311938592</v>
      </c>
      <c r="Q51" s="4">
        <f t="shared" si="132"/>
        <v>0.66715165309166424</v>
      </c>
      <c r="R51" s="4">
        <f t="shared" si="133"/>
        <v>1.1231698232733122E-3</v>
      </c>
      <c r="S51" s="4">
        <f t="shared" si="113"/>
        <v>0.61608576198424669</v>
      </c>
      <c r="T51" s="2">
        <f t="shared" si="114"/>
        <v>1004.3435484280518</v>
      </c>
      <c r="U51" s="6">
        <f t="shared" si="134"/>
        <v>0.36436614512078769</v>
      </c>
      <c r="V51" s="4">
        <f t="shared" si="135"/>
        <v>0.6764934257038433</v>
      </c>
      <c r="W51" s="4">
        <f t="shared" si="136"/>
        <v>0.96022427517160625</v>
      </c>
      <c r="X51" s="3">
        <f t="shared" si="137"/>
        <v>28.79823054561458</v>
      </c>
      <c r="Y51" s="8">
        <f t="shared" si="138"/>
        <v>11.151017573591044</v>
      </c>
      <c r="Z51" s="3">
        <f t="shared" si="139"/>
        <v>26.551702198387062</v>
      </c>
      <c r="AA51" s="3">
        <f t="shared" si="140"/>
        <v>17105.861212179654</v>
      </c>
      <c r="AB51" s="3"/>
      <c r="AC51" s="3"/>
      <c r="AD51" s="15"/>
    </row>
    <row r="52" spans="1:30" hidden="1">
      <c r="A52" s="7">
        <f t="shared" si="19"/>
        <v>490</v>
      </c>
      <c r="B52" s="3">
        <f t="shared" si="20"/>
        <v>614.65329399999996</v>
      </c>
      <c r="D52" s="1">
        <f t="shared" si="123"/>
        <v>50</v>
      </c>
      <c r="E52" s="2">
        <v>10</v>
      </c>
      <c r="F52" s="20">
        <v>10</v>
      </c>
      <c r="G52" s="2">
        <f t="shared" si="124"/>
        <v>7.0710678118654746</v>
      </c>
      <c r="H52" s="20">
        <f t="shared" si="112"/>
        <v>57</v>
      </c>
      <c r="I52" s="2">
        <f t="shared" si="125"/>
        <v>230</v>
      </c>
      <c r="J52" s="20">
        <f t="shared" si="126"/>
        <v>-557.65329399999996</v>
      </c>
      <c r="K52" s="2">
        <f t="shared" si="127"/>
        <v>230</v>
      </c>
      <c r="L52" s="2">
        <f t="shared" si="128"/>
        <v>603.22234400679349</v>
      </c>
      <c r="M52" s="2">
        <f t="shared" si="129"/>
        <v>2.4245795391304346</v>
      </c>
      <c r="N52" s="2">
        <f t="shared" si="130"/>
        <v>67.58666088212631</v>
      </c>
      <c r="P52" s="4">
        <f t="shared" si="131"/>
        <v>0.53769743773098433</v>
      </c>
      <c r="Q52" s="4">
        <f t="shared" si="132"/>
        <v>0.66498236983209513</v>
      </c>
      <c r="R52" s="4">
        <f t="shared" si="133"/>
        <v>1.1023835181818234E-3</v>
      </c>
      <c r="S52" s="4">
        <f t="shared" si="113"/>
        <v>0.61608576198424669</v>
      </c>
      <c r="T52" s="2">
        <f t="shared" si="114"/>
        <v>1004.3435484280518</v>
      </c>
      <c r="U52" s="6">
        <f t="shared" si="134"/>
        <v>0.37002945658884939</v>
      </c>
      <c r="V52" s="4">
        <f t="shared" si="135"/>
        <v>0.68817411172782827</v>
      </c>
      <c r="W52" s="4">
        <f t="shared" si="136"/>
        <v>0.96280415042508727</v>
      </c>
      <c r="X52" s="3">
        <f t="shared" si="137"/>
        <v>28.911181296557963</v>
      </c>
      <c r="Y52" s="8">
        <f t="shared" si="138"/>
        <v>11.02341742522297</v>
      </c>
      <c r="Z52" s="3">
        <f t="shared" si="139"/>
        <v>26.727152340489504</v>
      </c>
      <c r="AA52" s="3">
        <f t="shared" si="140"/>
        <v>17439.870549715062</v>
      </c>
      <c r="AB52" s="3"/>
      <c r="AC52" s="3"/>
      <c r="AD52" s="15"/>
    </row>
    <row r="53" spans="1:30" hidden="1">
      <c r="A53" s="7">
        <f t="shared" si="19"/>
        <v>490</v>
      </c>
      <c r="B53" s="3">
        <f t="shared" si="20"/>
        <v>614.65329399999996</v>
      </c>
      <c r="D53" s="1">
        <f t="shared" si="123"/>
        <v>51</v>
      </c>
      <c r="E53" s="2">
        <v>10</v>
      </c>
      <c r="F53" s="20">
        <v>10</v>
      </c>
      <c r="G53" s="2">
        <f t="shared" si="124"/>
        <v>7.0710678118654746</v>
      </c>
      <c r="H53" s="20">
        <f t="shared" si="112"/>
        <v>47</v>
      </c>
      <c r="I53" s="2">
        <f t="shared" si="125"/>
        <v>230</v>
      </c>
      <c r="J53" s="20">
        <f t="shared" si="126"/>
        <v>-567.65329399999996</v>
      </c>
      <c r="K53" s="2">
        <f t="shared" si="127"/>
        <v>230</v>
      </c>
      <c r="L53" s="2">
        <f t="shared" si="128"/>
        <v>612.47878509304337</v>
      </c>
      <c r="M53" s="2">
        <f t="shared" si="129"/>
        <v>2.4680578</v>
      </c>
      <c r="N53" s="2">
        <f t="shared" si="130"/>
        <v>67.943345847183025</v>
      </c>
      <c r="P53" s="4">
        <f t="shared" si="131"/>
        <v>0.5368184539559383</v>
      </c>
      <c r="Q53" s="4">
        <f t="shared" si="132"/>
        <v>0.66289559087201011</v>
      </c>
      <c r="R53" s="4">
        <f t="shared" si="133"/>
        <v>1.0823160034372583E-3</v>
      </c>
      <c r="S53" s="4">
        <f t="shared" si="113"/>
        <v>0.61608576198424669</v>
      </c>
      <c r="T53" s="2">
        <f t="shared" si="114"/>
        <v>1004.3435484280518</v>
      </c>
      <c r="U53" s="6">
        <f t="shared" si="134"/>
        <v>0.37570755505307535</v>
      </c>
      <c r="V53" s="4">
        <f t="shared" si="135"/>
        <v>0.6998782405567473</v>
      </c>
      <c r="W53" s="4">
        <f t="shared" si="136"/>
        <v>0.96529288545517777</v>
      </c>
      <c r="X53" s="3">
        <f t="shared" si="137"/>
        <v>29.020024121202088</v>
      </c>
      <c r="Y53" s="8">
        <f t="shared" si="138"/>
        <v>10.897692639039771</v>
      </c>
      <c r="Z53" s="3">
        <f t="shared" si="139"/>
        <v>26.89613531978469</v>
      </c>
      <c r="AA53" s="3">
        <f t="shared" si="140"/>
        <v>17774.149117124667</v>
      </c>
      <c r="AB53" s="3"/>
      <c r="AC53" s="3"/>
      <c r="AD53" s="15"/>
    </row>
    <row r="54" spans="1:30" hidden="1">
      <c r="A54" s="7">
        <f t="shared" si="19"/>
        <v>490</v>
      </c>
      <c r="B54" s="3">
        <f t="shared" si="20"/>
        <v>614.65329399999996</v>
      </c>
      <c r="D54" s="1">
        <f t="shared" si="123"/>
        <v>52</v>
      </c>
      <c r="E54" s="2">
        <v>10</v>
      </c>
      <c r="F54" s="20">
        <v>10</v>
      </c>
      <c r="G54" s="2">
        <f t="shared" si="124"/>
        <v>7.0710678118654746</v>
      </c>
      <c r="H54" s="20">
        <f t="shared" si="112"/>
        <v>37</v>
      </c>
      <c r="I54" s="2">
        <f t="shared" si="125"/>
        <v>230</v>
      </c>
      <c r="J54" s="20">
        <f t="shared" si="126"/>
        <v>-577.65329399999996</v>
      </c>
      <c r="K54" s="2">
        <f t="shared" si="127"/>
        <v>230</v>
      </c>
      <c r="L54" s="2">
        <f t="shared" si="128"/>
        <v>621.75825532842782</v>
      </c>
      <c r="M54" s="2">
        <f t="shared" si="129"/>
        <v>2.5115360608695649</v>
      </c>
      <c r="N54" s="2">
        <f t="shared" si="130"/>
        <v>68.289397157674046</v>
      </c>
      <c r="P54" s="4">
        <f t="shared" si="131"/>
        <v>0.53597131147517629</v>
      </c>
      <c r="Q54" s="4">
        <f t="shared" si="132"/>
        <v>0.66088683676761528</v>
      </c>
      <c r="R54" s="4">
        <f t="shared" si="133"/>
        <v>1.0629321462221981E-3</v>
      </c>
      <c r="S54" s="4">
        <f t="shared" si="113"/>
        <v>0.61608576198424669</v>
      </c>
      <c r="T54" s="2">
        <f t="shared" si="114"/>
        <v>1004.3435484280518</v>
      </c>
      <c r="U54" s="6">
        <f t="shared" si="134"/>
        <v>0.38139978008874648</v>
      </c>
      <c r="V54" s="4">
        <f t="shared" si="135"/>
        <v>0.7116048413841477</v>
      </c>
      <c r="W54" s="4">
        <f t="shared" si="136"/>
        <v>0.9676913869968452</v>
      </c>
      <c r="X54" s="3">
        <f t="shared" si="137"/>
        <v>29.124849801440529</v>
      </c>
      <c r="Y54" s="8">
        <f t="shared" si="138"/>
        <v>10.773826317421227</v>
      </c>
      <c r="Z54" s="3">
        <f t="shared" si="139"/>
        <v>27.058853309748958</v>
      </c>
      <c r="AA54" s="3">
        <f t="shared" si="140"/>
        <v>18108.61579924617</v>
      </c>
      <c r="AB54" s="3"/>
      <c r="AC54" s="3"/>
      <c r="AD54" s="15"/>
    </row>
    <row r="55" spans="1:30" hidden="1">
      <c r="A55" s="7">
        <f t="shared" si="19"/>
        <v>490</v>
      </c>
      <c r="B55" s="3">
        <f t="shared" si="20"/>
        <v>614.65329399999996</v>
      </c>
      <c r="D55" s="1">
        <f t="shared" si="123"/>
        <v>53</v>
      </c>
      <c r="E55" s="2">
        <v>10</v>
      </c>
      <c r="F55" s="20">
        <v>10</v>
      </c>
      <c r="G55" s="2">
        <f t="shared" si="124"/>
        <v>7.0710678118654746</v>
      </c>
      <c r="H55" s="20">
        <f t="shared" si="112"/>
        <v>27</v>
      </c>
      <c r="I55" s="2">
        <f t="shared" si="125"/>
        <v>230</v>
      </c>
      <c r="J55" s="20">
        <f t="shared" si="126"/>
        <v>-587.65329399999996</v>
      </c>
      <c r="K55" s="2">
        <f t="shared" si="127"/>
        <v>230</v>
      </c>
      <c r="L55" s="2">
        <f t="shared" si="128"/>
        <v>631.05973881166778</v>
      </c>
      <c r="M55" s="2">
        <f t="shared" si="129"/>
        <v>2.5550143217391303</v>
      </c>
      <c r="N55" s="2">
        <f t="shared" si="130"/>
        <v>68.625259198028274</v>
      </c>
      <c r="P55" s="4">
        <f t="shared" si="131"/>
        <v>0.5351543606778707</v>
      </c>
      <c r="Q55" s="4">
        <f t="shared" si="132"/>
        <v>0.65895193846552902</v>
      </c>
      <c r="R55" s="4">
        <f t="shared" si="133"/>
        <v>1.0441989845626728E-3</v>
      </c>
      <c r="S55" s="4">
        <f t="shared" si="113"/>
        <v>0.61608576198424669</v>
      </c>
      <c r="T55" s="2">
        <f t="shared" si="114"/>
        <v>1004.3435484280518</v>
      </c>
      <c r="U55" s="6">
        <f t="shared" si="134"/>
        <v>0.38710550852034231</v>
      </c>
      <c r="V55" s="4">
        <f t="shared" si="135"/>
        <v>0.72335299301308598</v>
      </c>
      <c r="W55" s="4">
        <f t="shared" si="136"/>
        <v>0.9700005279183761</v>
      </c>
      <c r="X55" s="3">
        <f t="shared" si="137"/>
        <v>29.225744505951241</v>
      </c>
      <c r="Y55" s="8">
        <f t="shared" si="138"/>
        <v>10.651798590457798</v>
      </c>
      <c r="Z55" s="3">
        <f t="shared" si="139"/>
        <v>27.215497950900335</v>
      </c>
      <c r="AA55" s="3">
        <f t="shared" si="140"/>
        <v>18443.190694502126</v>
      </c>
      <c r="AB55" s="3"/>
      <c r="AC55" s="3"/>
      <c r="AD55" s="15"/>
    </row>
    <row r="56" spans="1:30" hidden="1">
      <c r="A56" s="7">
        <f t="shared" si="19"/>
        <v>490</v>
      </c>
      <c r="B56" s="3">
        <f t="shared" si="20"/>
        <v>614.65329399999996</v>
      </c>
      <c r="D56" s="1">
        <f t="shared" si="123"/>
        <v>54</v>
      </c>
      <c r="E56" s="2">
        <v>10</v>
      </c>
      <c r="F56" s="20">
        <v>10</v>
      </c>
      <c r="G56" s="2">
        <f t="shared" si="124"/>
        <v>7.0710678118654746</v>
      </c>
      <c r="H56" s="20">
        <f t="shared" si="112"/>
        <v>17</v>
      </c>
      <c r="I56" s="2">
        <f t="shared" si="125"/>
        <v>230</v>
      </c>
      <c r="J56" s="20">
        <f t="shared" si="126"/>
        <v>-597.65329399999996</v>
      </c>
      <c r="K56" s="2">
        <f t="shared" si="127"/>
        <v>230</v>
      </c>
      <c r="L56" s="2">
        <f t="shared" si="128"/>
        <v>640.38227632333053</v>
      </c>
      <c r="M56" s="2">
        <f t="shared" si="129"/>
        <v>2.5984925826086953</v>
      </c>
      <c r="N56" s="2">
        <f t="shared" si="130"/>
        <v>68.95135336929313</v>
      </c>
      <c r="P56" s="4">
        <f t="shared" si="131"/>
        <v>0.53436606114645235</v>
      </c>
      <c r="Q56" s="4">
        <f t="shared" si="132"/>
        <v>0.65708701145318082</v>
      </c>
      <c r="R56" s="4">
        <f t="shared" si="133"/>
        <v>1.0260855675546774E-3</v>
      </c>
      <c r="S56" s="4">
        <f t="shared" si="113"/>
        <v>0.61608576198424669</v>
      </c>
      <c r="T56" s="2">
        <f t="shared" si="114"/>
        <v>1004.3435484280518</v>
      </c>
      <c r="U56" s="6">
        <f t="shared" si="134"/>
        <v>0.39282415194219622</v>
      </c>
      <c r="V56" s="4">
        <f t="shared" si="135"/>
        <v>0.73512182098431567</v>
      </c>
      <c r="W56" s="4">
        <f t="shared" si="136"/>
        <v>0.97222114685946859</v>
      </c>
      <c r="X56" s="3">
        <f t="shared" si="137"/>
        <v>29.322789995178049</v>
      </c>
      <c r="Y56" s="8">
        <f t="shared" si="138"/>
        <v>10.531587066419318</v>
      </c>
      <c r="Z56" s="3">
        <f t="shared" si="139"/>
        <v>27.366250875188278</v>
      </c>
      <c r="AA56" s="3">
        <f t="shared" si="140"/>
        <v>18777.795005263102</v>
      </c>
      <c r="AB56" s="3"/>
      <c r="AC56" s="3"/>
      <c r="AD56" s="15"/>
    </row>
    <row r="57" spans="1:30" hidden="1">
      <c r="A57" s="7">
        <f t="shared" si="19"/>
        <v>490</v>
      </c>
      <c r="B57" s="3">
        <f t="shared" si="20"/>
        <v>614.65329399999996</v>
      </c>
      <c r="D57" s="1">
        <f t="shared" si="123"/>
        <v>55</v>
      </c>
      <c r="E57" s="2">
        <v>10</v>
      </c>
      <c r="F57" s="20">
        <v>10</v>
      </c>
      <c r="G57" s="2">
        <f t="shared" si="124"/>
        <v>7.0710678118654746</v>
      </c>
      <c r="H57" s="20">
        <f t="shared" si="112"/>
        <v>7</v>
      </c>
      <c r="I57" s="2">
        <f t="shared" si="125"/>
        <v>230</v>
      </c>
      <c r="J57" s="20">
        <f t="shared" si="126"/>
        <v>-607.65329399999996</v>
      </c>
      <c r="K57" s="2">
        <f t="shared" si="127"/>
        <v>230</v>
      </c>
      <c r="L57" s="2">
        <f t="shared" si="128"/>
        <v>649.72496158686283</v>
      </c>
      <c r="M57" s="2">
        <f t="shared" si="129"/>
        <v>2.6419708434782607</v>
      </c>
      <c r="N57" s="2">
        <f t="shared" si="130"/>
        <v>69.268079448476186</v>
      </c>
      <c r="P57" s="4">
        <f t="shared" si="131"/>
        <v>0.53360497296364606</v>
      </c>
      <c r="Q57" s="4">
        <f t="shared" si="132"/>
        <v>0.65528843240234658</v>
      </c>
      <c r="R57" s="4">
        <f t="shared" si="133"/>
        <v>1.0085628091029406E-3</v>
      </c>
      <c r="S57" s="4">
        <f t="shared" si="113"/>
        <v>0.61608576198424669</v>
      </c>
      <c r="T57" s="2">
        <f t="shared" si="114"/>
        <v>1004.3435484280518</v>
      </c>
      <c r="U57" s="6">
        <f t="shared" si="134"/>
        <v>0.39855515442493339</v>
      </c>
      <c r="V57" s="4">
        <f t="shared" si="135"/>
        <v>0.74691049487667827</v>
      </c>
      <c r="W57" s="4">
        <f t="shared" si="136"/>
        <v>0.97435404796554526</v>
      </c>
      <c r="X57" s="3">
        <f t="shared" si="137"/>
        <v>29.416063816901296</v>
      </c>
      <c r="Y57" s="8">
        <f t="shared" si="138"/>
        <v>10.413167229042621</v>
      </c>
      <c r="Z57" s="3">
        <f t="shared" si="139"/>
        <v>27.511284207393924</v>
      </c>
      <c r="AA57" s="3">
        <f t="shared" si="140"/>
        <v>19112.350933472899</v>
      </c>
      <c r="AB57" s="3"/>
      <c r="AC57" s="3"/>
      <c r="AD57" s="15"/>
    </row>
    <row r="58" spans="1:30" hidden="1">
      <c r="A58" s="7">
        <f t="shared" si="19"/>
        <v>490</v>
      </c>
      <c r="B58" s="3">
        <f t="shared" si="20"/>
        <v>614.65329399999996</v>
      </c>
      <c r="D58" s="1">
        <f t="shared" si="123"/>
        <v>56</v>
      </c>
      <c r="E58" s="2">
        <v>10</v>
      </c>
      <c r="F58" s="20">
        <v>10</v>
      </c>
      <c r="G58" s="2">
        <f t="shared" si="124"/>
        <v>7.0710678118654746</v>
      </c>
      <c r="H58" s="20">
        <f t="shared" si="112"/>
        <v>-3</v>
      </c>
      <c r="I58" s="2">
        <f t="shared" si="125"/>
        <v>230</v>
      </c>
      <c r="J58" s="20">
        <f t="shared" si="126"/>
        <v>-617.65329399999996</v>
      </c>
      <c r="K58" s="2">
        <f t="shared" si="127"/>
        <v>230</v>
      </c>
      <c r="L58" s="2">
        <f t="shared" si="128"/>
        <v>659.08693780794226</v>
      </c>
      <c r="M58" s="2">
        <f t="shared" si="129"/>
        <v>2.6854491043478261</v>
      </c>
      <c r="N58" s="2">
        <f t="shared" si="130"/>
        <v>69.57581686234839</v>
      </c>
      <c r="P58" s="4">
        <f t="shared" si="131"/>
        <v>0.53286974882132521</v>
      </c>
      <c r="Q58" s="4">
        <f t="shared" si="132"/>
        <v>0.65355281803420551</v>
      </c>
      <c r="R58" s="4">
        <f t="shared" si="133"/>
        <v>9.9160335388811887E-4</v>
      </c>
      <c r="S58" s="4">
        <f t="shared" si="113"/>
        <v>0.61608576198424669</v>
      </c>
      <c r="T58" s="2">
        <f t="shared" si="114"/>
        <v>1004.3435484280518</v>
      </c>
      <c r="U58" s="6">
        <f t="shared" si="134"/>
        <v>0.40429799039263548</v>
      </c>
      <c r="V58" s="4">
        <f t="shared" si="135"/>
        <v>0.75871822577077708</v>
      </c>
      <c r="W58" s="4">
        <f t="shared" si="136"/>
        <v>0.97640000070305555</v>
      </c>
      <c r="X58" s="3">
        <f t="shared" si="137"/>
        <v>29.505639492345036</v>
      </c>
      <c r="Y58" s="8">
        <f t="shared" si="138"/>
        <v>10.296512787538939</v>
      </c>
      <c r="Z58" s="3">
        <f t="shared" si="139"/>
        <v>27.650761043202376</v>
      </c>
      <c r="AA58" s="3">
        <f t="shared" si="140"/>
        <v>19446.781581074778</v>
      </c>
      <c r="AB58" s="3"/>
      <c r="AC58" s="3"/>
      <c r="AD58" s="15"/>
    </row>
    <row r="59" spans="1:30" hidden="1">
      <c r="A59" s="7">
        <f t="shared" si="19"/>
        <v>490</v>
      </c>
      <c r="B59" s="3">
        <f t="shared" si="20"/>
        <v>614.65329399999996</v>
      </c>
      <c r="D59" s="1">
        <f t="shared" si="123"/>
        <v>57</v>
      </c>
      <c r="E59" s="2">
        <v>10</v>
      </c>
      <c r="F59" s="20">
        <v>10</v>
      </c>
      <c r="G59" s="2">
        <f t="shared" si="124"/>
        <v>7.0710678118654746</v>
      </c>
      <c r="H59" s="20">
        <f t="shared" si="112"/>
        <v>-13</v>
      </c>
      <c r="I59" s="2">
        <f t="shared" si="125"/>
        <v>230</v>
      </c>
      <c r="J59" s="20">
        <f t="shared" si="126"/>
        <v>-627.65329399999996</v>
      </c>
      <c r="K59" s="2">
        <f t="shared" si="127"/>
        <v>230</v>
      </c>
      <c r="L59" s="2">
        <f t="shared" si="128"/>
        <v>668.4673944696558</v>
      </c>
      <c r="M59" s="2">
        <f t="shared" si="129"/>
        <v>2.7289273652173911</v>
      </c>
      <c r="N59" s="2">
        <f t="shared" si="130"/>
        <v>69.87492588084163</v>
      </c>
      <c r="P59" s="4">
        <f t="shared" si="131"/>
        <v>0.5321591268476179</v>
      </c>
      <c r="Q59" s="4">
        <f t="shared" si="132"/>
        <v>0.65187700596713927</v>
      </c>
      <c r="R59" s="4">
        <f t="shared" si="133"/>
        <v>9.7518145441382535E-4</v>
      </c>
      <c r="S59" s="4">
        <f t="shared" si="113"/>
        <v>0.61608576198424669</v>
      </c>
      <c r="T59" s="2">
        <f t="shared" si="114"/>
        <v>1004.3435484280518</v>
      </c>
      <c r="U59" s="6">
        <f t="shared" si="134"/>
        <v>0.41005216265693417</v>
      </c>
      <c r="V59" s="4">
        <f t="shared" si="135"/>
        <v>0.77054426386705821</v>
      </c>
      <c r="W59" s="4">
        <f t="shared" si="136"/>
        <v>0.97835973974211443</v>
      </c>
      <c r="X59" s="3">
        <f t="shared" si="137"/>
        <v>29.591586692872742</v>
      </c>
      <c r="Y59" s="8">
        <f t="shared" si="138"/>
        <v>10.18159598458872</v>
      </c>
      <c r="Z59" s="3">
        <f t="shared" si="139"/>
        <v>27.784835903931661</v>
      </c>
      <c r="AA59" s="3">
        <f t="shared" si="140"/>
        <v>19781.01085480758</v>
      </c>
      <c r="AB59" s="3"/>
      <c r="AC59" s="3"/>
      <c r="AD59" s="15"/>
    </row>
    <row r="60" spans="1:30" hidden="1">
      <c r="A60" s="7">
        <f t="shared" si="19"/>
        <v>490</v>
      </c>
      <c r="B60" s="3">
        <f t="shared" si="20"/>
        <v>614.65329399999996</v>
      </c>
      <c r="D60" s="1">
        <f t="shared" si="123"/>
        <v>58</v>
      </c>
      <c r="E60" s="2">
        <v>10</v>
      </c>
      <c r="F60" s="20">
        <v>10</v>
      </c>
      <c r="G60" s="2">
        <f t="shared" si="124"/>
        <v>7.0710678118654746</v>
      </c>
      <c r="H60" s="20">
        <f t="shared" si="112"/>
        <v>-23</v>
      </c>
      <c r="I60" s="2">
        <f t="shared" si="125"/>
        <v>230</v>
      </c>
      <c r="J60" s="20">
        <f t="shared" si="126"/>
        <v>-637.65329399999996</v>
      </c>
      <c r="K60" s="2">
        <f t="shared" si="127"/>
        <v>230</v>
      </c>
      <c r="L60" s="2">
        <f t="shared" si="128"/>
        <v>677.86556436291289</v>
      </c>
      <c r="M60" s="2">
        <f t="shared" si="129"/>
        <v>2.7724056260869565</v>
      </c>
      <c r="N60" s="2">
        <f t="shared" si="130"/>
        <v>70.165748734971459</v>
      </c>
      <c r="P60" s="4">
        <f t="shared" si="131"/>
        <v>0.5314719240783593</v>
      </c>
      <c r="Q60" s="4">
        <f t="shared" si="132"/>
        <v>0.65025803733699705</v>
      </c>
      <c r="R60" s="4">
        <f t="shared" si="133"/>
        <v>9.5927285810444942E-4</v>
      </c>
      <c r="S60" s="4">
        <f t="shared" si="113"/>
        <v>0.61608576198424669</v>
      </c>
      <c r="T60" s="2">
        <f t="shared" si="114"/>
        <v>1004.3435484280518</v>
      </c>
      <c r="U60" s="6">
        <f t="shared" si="134"/>
        <v>0.41581720059540356</v>
      </c>
      <c r="V60" s="4">
        <f t="shared" si="135"/>
        <v>0.78238789624961669</v>
      </c>
      <c r="W60" s="4">
        <f t="shared" si="136"/>
        <v>0.98023396489425485</v>
      </c>
      <c r="X60" s="3">
        <f t="shared" si="137"/>
        <v>29.673971407403922</v>
      </c>
      <c r="Y60" s="8">
        <f t="shared" si="138"/>
        <v>10.068387867021002</v>
      </c>
      <c r="Z60" s="3">
        <f t="shared" si="139"/>
        <v>27.913655168154705</v>
      </c>
      <c r="AA60" s="3">
        <f t="shared" si="140"/>
        <v>20114.9633749688</v>
      </c>
      <c r="AB60" s="3"/>
      <c r="AC60" s="3"/>
      <c r="AD60" s="15"/>
    </row>
    <row r="61" spans="1:30" hidden="1">
      <c r="A61" s="7">
        <f t="shared" si="19"/>
        <v>490</v>
      </c>
      <c r="B61" s="3">
        <f t="shared" si="20"/>
        <v>614.65329399999996</v>
      </c>
      <c r="D61" s="1">
        <f t="shared" si="123"/>
        <v>59</v>
      </c>
      <c r="E61" s="2">
        <v>10</v>
      </c>
      <c r="F61" s="20">
        <v>10</v>
      </c>
      <c r="G61" s="2">
        <f t="shared" si="124"/>
        <v>7.0710678118654746</v>
      </c>
      <c r="H61" s="20">
        <f t="shared" si="112"/>
        <v>-33</v>
      </c>
      <c r="I61" s="2">
        <f t="shared" si="125"/>
        <v>230</v>
      </c>
      <c r="J61" s="20">
        <f t="shared" si="126"/>
        <v>-647.65329399999996</v>
      </c>
      <c r="K61" s="2">
        <f t="shared" si="127"/>
        <v>230</v>
      </c>
      <c r="L61" s="2">
        <f t="shared" si="128"/>
        <v>687.28072083323445</v>
      </c>
      <c r="M61" s="2">
        <f t="shared" si="129"/>
        <v>2.8158838869565215</v>
      </c>
      <c r="N61" s="2">
        <f t="shared" si="130"/>
        <v>70.448610663995495</v>
      </c>
      <c r="P61" s="4">
        <f t="shared" si="131"/>
        <v>0.53080703050743649</v>
      </c>
      <c r="Q61" s="4">
        <f t="shared" si="132"/>
        <v>0.64869314100429631</v>
      </c>
      <c r="R61" s="4">
        <f t="shared" si="133"/>
        <v>9.4385470353052251E-4</v>
      </c>
      <c r="S61" s="4">
        <f t="shared" si="113"/>
        <v>0.61608576198424669</v>
      </c>
      <c r="T61" s="2">
        <f t="shared" si="114"/>
        <v>1004.3435484280518</v>
      </c>
      <c r="U61" s="6">
        <f t="shared" si="134"/>
        <v>0.42159265846268185</v>
      </c>
      <c r="V61" s="4">
        <f t="shared" si="135"/>
        <v>0.79424844478727274</v>
      </c>
      <c r="W61" s="4">
        <f t="shared" si="136"/>
        <v>0.9820233410943584</v>
      </c>
      <c r="X61" s="3">
        <f t="shared" si="137"/>
        <v>29.75285610074414</v>
      </c>
      <c r="Y61" s="8">
        <f t="shared" si="138"/>
        <v>9.9568585233625573</v>
      </c>
      <c r="Z61" s="3">
        <f t="shared" si="139"/>
        <v>28.037357480642328</v>
      </c>
      <c r="AA61" s="3">
        <f t="shared" si="140"/>
        <v>20448.564387766928</v>
      </c>
      <c r="AB61" s="3"/>
      <c r="AC61" s="3"/>
      <c r="AD61" s="15"/>
    </row>
    <row r="62" spans="1:30" hidden="1">
      <c r="A62" s="7">
        <f t="shared" si="19"/>
        <v>490</v>
      </c>
      <c r="B62" s="3">
        <f t="shared" si="20"/>
        <v>614.65329399999996</v>
      </c>
      <c r="D62" s="1">
        <f t="shared" si="123"/>
        <v>60</v>
      </c>
      <c r="E62" s="2">
        <v>10</v>
      </c>
      <c r="F62" s="20">
        <v>10</v>
      </c>
      <c r="G62" s="2">
        <f t="shared" si="124"/>
        <v>7.0710678118654746</v>
      </c>
      <c r="H62" s="20">
        <f t="shared" si="112"/>
        <v>-43</v>
      </c>
      <c r="I62" s="2">
        <f t="shared" si="125"/>
        <v>230</v>
      </c>
      <c r="J62" s="20">
        <f t="shared" si="126"/>
        <v>-657.65329399999996</v>
      </c>
      <c r="K62" s="2">
        <f t="shared" si="127"/>
        <v>230</v>
      </c>
      <c r="L62" s="2">
        <f t="shared" si="128"/>
        <v>696.71217522665006</v>
      </c>
      <c r="M62" s="2">
        <f t="shared" si="129"/>
        <v>2.8593621478260869</v>
      </c>
      <c r="N62" s="2">
        <f t="shared" si="130"/>
        <v>70.723820896288657</v>
      </c>
      <c r="P62" s="4">
        <f t="shared" si="131"/>
        <v>0.53016340365795434</v>
      </c>
      <c r="Q62" s="4">
        <f t="shared" si="132"/>
        <v>0.64717971918441619</v>
      </c>
      <c r="R62" s="4">
        <f t="shared" si="133"/>
        <v>9.2890542493229676E-4</v>
      </c>
      <c r="S62" s="4">
        <f t="shared" si="113"/>
        <v>0.61608576198424669</v>
      </c>
      <c r="T62" s="2">
        <f t="shared" si="114"/>
        <v>1004.3435484280518</v>
      </c>
      <c r="U62" s="6">
        <f t="shared" si="134"/>
        <v>0.42737811382372992</v>
      </c>
      <c r="V62" s="4">
        <f t="shared" si="135"/>
        <v>0.80612526416376629</v>
      </c>
      <c r="W62" s="4">
        <f t="shared" si="136"/>
        <v>0.98372849841698429</v>
      </c>
      <c r="X62" s="3">
        <f t="shared" si="137"/>
        <v>29.828299863065347</v>
      </c>
      <c r="Y62" s="8">
        <f t="shared" si="138"/>
        <v>9.8469772919831744</v>
      </c>
      <c r="Z62" s="3">
        <f t="shared" si="139"/>
        <v>28.156074139199731</v>
      </c>
      <c r="AA62" s="3">
        <f t="shared" si="140"/>
        <v>20781.739680909046</v>
      </c>
      <c r="AB62" s="3"/>
      <c r="AC62" s="3"/>
      <c r="AD62" s="15"/>
    </row>
    <row r="63" spans="1:30" hidden="1">
      <c r="A63" s="7">
        <f t="shared" si="19"/>
        <v>490</v>
      </c>
      <c r="B63" s="3">
        <f t="shared" si="20"/>
        <v>614.65329399999996</v>
      </c>
      <c r="D63" s="1">
        <f t="shared" si="123"/>
        <v>61</v>
      </c>
      <c r="E63" s="2">
        <v>10</v>
      </c>
      <c r="F63" s="20">
        <v>10</v>
      </c>
      <c r="G63" s="2">
        <f t="shared" si="124"/>
        <v>7.0710678118654746</v>
      </c>
      <c r="H63" s="20">
        <f t="shared" si="112"/>
        <v>-53</v>
      </c>
      <c r="I63" s="2">
        <f t="shared" si="125"/>
        <v>230</v>
      </c>
      <c r="J63" s="20">
        <f t="shared" si="126"/>
        <v>-667.65329399999996</v>
      </c>
      <c r="K63" s="2">
        <f t="shared" si="127"/>
        <v>230</v>
      </c>
      <c r="L63" s="2">
        <f t="shared" si="128"/>
        <v>706.15927451889377</v>
      </c>
      <c r="M63" s="2">
        <f t="shared" si="129"/>
        <v>2.9028404086956519</v>
      </c>
      <c r="N63" s="2">
        <f t="shared" si="130"/>
        <v>70.991673568181156</v>
      </c>
      <c r="P63" s="4">
        <f t="shared" si="131"/>
        <v>0.52954006362262496</v>
      </c>
      <c r="Q63" s="4">
        <f t="shared" si="132"/>
        <v>0.6457153343556512</v>
      </c>
      <c r="R63" s="4">
        <f t="shared" si="133"/>
        <v>9.1440466429556838E-4</v>
      </c>
      <c r="S63" s="4">
        <f t="shared" si="113"/>
        <v>0.61608576198424669</v>
      </c>
      <c r="T63" s="2">
        <f t="shared" si="114"/>
        <v>1004.3435484280518</v>
      </c>
      <c r="U63" s="6">
        <f t="shared" si="134"/>
        <v>0.43317316609952966</v>
      </c>
      <c r="V63" s="4">
        <f t="shared" si="135"/>
        <v>0.81801774002925898</v>
      </c>
      <c r="W63" s="4">
        <f t="shared" si="136"/>
        <v>0.98535003211835037</v>
      </c>
      <c r="X63" s="3">
        <f t="shared" si="137"/>
        <v>29.900358550804235</v>
      </c>
      <c r="Y63" s="8">
        <f t="shared" si="138"/>
        <v>9.7387129431534145</v>
      </c>
      <c r="Z63" s="3">
        <f t="shared" si="139"/>
        <v>28.269929460073087</v>
      </c>
      <c r="AA63" s="3">
        <f t="shared" si="140"/>
        <v>21114.41550209072</v>
      </c>
      <c r="AB63" s="3"/>
      <c r="AC63" s="3"/>
      <c r="AD63" s="15"/>
    </row>
    <row r="64" spans="1:30" hidden="1">
      <c r="A64" s="7">
        <f t="shared" si="19"/>
        <v>490</v>
      </c>
      <c r="B64" s="3">
        <f t="shared" si="20"/>
        <v>614.65329399999996</v>
      </c>
      <c r="D64" s="1">
        <f t="shared" si="123"/>
        <v>62</v>
      </c>
      <c r="E64" s="2">
        <v>10</v>
      </c>
      <c r="F64" s="20">
        <v>10</v>
      </c>
      <c r="G64" s="2">
        <f t="shared" si="124"/>
        <v>7.0710678118654746</v>
      </c>
      <c r="H64" s="20">
        <f t="shared" si="112"/>
        <v>-63</v>
      </c>
      <c r="I64" s="2">
        <f t="shared" si="125"/>
        <v>230</v>
      </c>
      <c r="J64" s="20">
        <f t="shared" si="126"/>
        <v>-677.65329399999996</v>
      </c>
      <c r="K64" s="2">
        <f t="shared" si="127"/>
        <v>230</v>
      </c>
      <c r="L64" s="2">
        <f t="shared" si="128"/>
        <v>715.62139911342115</v>
      </c>
      <c r="M64" s="2">
        <f t="shared" si="129"/>
        <v>2.9463186695652173</v>
      </c>
      <c r="N64" s="2">
        <f t="shared" si="130"/>
        <v>71.252448584771813</v>
      </c>
      <c r="P64" s="4">
        <f t="shared" si="131"/>
        <v>0.52893608852746354</v>
      </c>
      <c r="Q64" s="4">
        <f t="shared" si="132"/>
        <v>0.64429769731644659</v>
      </c>
      <c r="R64" s="4">
        <f t="shared" si="133"/>
        <v>9.0033319030797978E-4</v>
      </c>
      <c r="S64" s="4">
        <f t="shared" si="113"/>
        <v>0.61608576198424669</v>
      </c>
      <c r="T64" s="2">
        <f t="shared" si="114"/>
        <v>1004.3435484280518</v>
      </c>
      <c r="U64" s="6">
        <f t="shared" si="134"/>
        <v>0.43897743521634064</v>
      </c>
      <c r="V64" s="4">
        <f t="shared" si="135"/>
        <v>0.8299252872656806</v>
      </c>
      <c r="W64" s="4">
        <f t="shared" si="136"/>
        <v>0.98688850269613848</v>
      </c>
      <c r="X64" s="3">
        <f t="shared" si="137"/>
        <v>29.969084919266848</v>
      </c>
      <c r="Y64" s="8">
        <f t="shared" si="138"/>
        <v>9.6320338379636627</v>
      </c>
      <c r="Z64" s="3">
        <f t="shared" si="139"/>
        <v>28.379041122676266</v>
      </c>
      <c r="AA64" s="3">
        <f t="shared" si="140"/>
        <v>21446.518480074672</v>
      </c>
      <c r="AB64" s="3"/>
      <c r="AC64" s="3"/>
      <c r="AD64" s="15"/>
    </row>
    <row r="65" spans="1:30" hidden="1">
      <c r="A65" s="7">
        <f t="shared" si="19"/>
        <v>490</v>
      </c>
      <c r="B65" s="3">
        <f t="shared" si="20"/>
        <v>614.65329399999996</v>
      </c>
      <c r="D65" s="1">
        <f t="shared" si="123"/>
        <v>63</v>
      </c>
      <c r="E65" s="2">
        <v>10</v>
      </c>
      <c r="F65" s="20">
        <v>10</v>
      </c>
      <c r="G65" s="2">
        <f t="shared" si="124"/>
        <v>7.0710678118654746</v>
      </c>
      <c r="H65" s="20">
        <f t="shared" si="112"/>
        <v>-73</v>
      </c>
      <c r="I65" s="2">
        <f t="shared" si="125"/>
        <v>230</v>
      </c>
      <c r="J65" s="20">
        <f t="shared" si="126"/>
        <v>-687.65329399999996</v>
      </c>
      <c r="K65" s="2">
        <f t="shared" si="127"/>
        <v>230</v>
      </c>
      <c r="L65" s="2">
        <f t="shared" si="128"/>
        <v>725.09796079498824</v>
      </c>
      <c r="M65" s="2">
        <f t="shared" si="129"/>
        <v>2.9897969304347822</v>
      </c>
      <c r="N65" s="2">
        <f t="shared" si="130"/>
        <v>71.506412426496667</v>
      </c>
      <c r="P65" s="4">
        <f t="shared" si="131"/>
        <v>0.52835061037787368</v>
      </c>
      <c r="Q65" s="4">
        <f t="shared" si="132"/>
        <v>0.64292465627754614</v>
      </c>
      <c r="R65" s="4">
        <f t="shared" si="133"/>
        <v>8.8667282359014175E-4</v>
      </c>
      <c r="S65" s="4">
        <f t="shared" si="113"/>
        <v>0.61608576198424669</v>
      </c>
      <c r="T65" s="2">
        <f t="shared" si="114"/>
        <v>1004.3435484280518</v>
      </c>
      <c r="U65" s="6">
        <f t="shared" si="134"/>
        <v>0.44479056035038161</v>
      </c>
      <c r="V65" s="4">
        <f t="shared" si="135"/>
        <v>0.84184734835882868</v>
      </c>
      <c r="W65" s="4">
        <f t="shared" si="136"/>
        <v>0.98834443596010391</v>
      </c>
      <c r="X65" s="3">
        <f t="shared" si="137"/>
        <v>30.034528747239658</v>
      </c>
      <c r="Y65" s="8">
        <f t="shared" si="138"/>
        <v>9.5269080667270707</v>
      </c>
      <c r="Z65" s="3">
        <f t="shared" si="139"/>
        <v>28.483520494434956</v>
      </c>
      <c r="AA65" s="3">
        <f t="shared" si="140"/>
        <v>21777.975548061928</v>
      </c>
      <c r="AB65" s="3"/>
      <c r="AC65" s="3"/>
      <c r="AD65" s="15"/>
    </row>
    <row r="66" spans="1:30" hidden="1">
      <c r="A66" s="7">
        <f t="shared" si="19"/>
        <v>490</v>
      </c>
      <c r="B66" s="3">
        <f t="shared" si="20"/>
        <v>614.65329399999996</v>
      </c>
      <c r="D66" s="1">
        <f t="shared" si="123"/>
        <v>64</v>
      </c>
      <c r="E66" s="2">
        <v>10</v>
      </c>
      <c r="F66" s="20">
        <v>10</v>
      </c>
      <c r="G66" s="2">
        <f t="shared" si="124"/>
        <v>7.0710678118654746</v>
      </c>
      <c r="H66" s="20">
        <f t="shared" si="112"/>
        <v>-83</v>
      </c>
      <c r="I66" s="2">
        <f t="shared" si="125"/>
        <v>230</v>
      </c>
      <c r="J66" s="20">
        <f t="shared" si="126"/>
        <v>-697.65329399999996</v>
      </c>
      <c r="K66" s="2">
        <f t="shared" si="127"/>
        <v>230</v>
      </c>
      <c r="L66" s="2">
        <f t="shared" si="128"/>
        <v>734.58840082664688</v>
      </c>
      <c r="M66" s="2">
        <f t="shared" si="129"/>
        <v>3.0332751913043476</v>
      </c>
      <c r="N66" s="2">
        <f t="shared" si="130"/>
        <v>71.753818905008487</v>
      </c>
      <c r="P66" s="4">
        <f t="shared" si="131"/>
        <v>0.52778281125059301</v>
      </c>
      <c r="Q66" s="4">
        <f t="shared" si="132"/>
        <v>0.64159418688741376</v>
      </c>
      <c r="R66" s="4">
        <f t="shared" si="133"/>
        <v>8.7340636765488686E-4</v>
      </c>
      <c r="S66" s="4">
        <f t="shared" si="113"/>
        <v>0.61608576198424669</v>
      </c>
      <c r="T66" s="2">
        <f t="shared" si="114"/>
        <v>1004.3435484280518</v>
      </c>
      <c r="U66" s="6">
        <f t="shared" si="134"/>
        <v>0.45061219876048692</v>
      </c>
      <c r="V66" s="4">
        <f t="shared" si="135"/>
        <v>0.85378339187051466</v>
      </c>
      <c r="W66" s="4">
        <f t="shared" si="136"/>
        <v>0.98971832310719432</v>
      </c>
      <c r="X66" s="3">
        <f t="shared" si="137"/>
        <v>30.096736953912608</v>
      </c>
      <c r="Y66" s="8">
        <f t="shared" si="138"/>
        <v>9.423303569196241</v>
      </c>
      <c r="Z66" s="3">
        <f t="shared" si="139"/>
        <v>28.583472936572669</v>
      </c>
      <c r="AA66" s="3">
        <f t="shared" si="140"/>
        <v>22108.713869074909</v>
      </c>
      <c r="AB66" s="3"/>
      <c r="AC66" s="3"/>
      <c r="AD66" s="15"/>
    </row>
    <row r="67" spans="1:30" hidden="1">
      <c r="A67" s="7">
        <f t="shared" si="19"/>
        <v>490</v>
      </c>
      <c r="B67" s="3">
        <f t="shared" si="20"/>
        <v>614.65329399999996</v>
      </c>
      <c r="D67" s="1">
        <f t="shared" si="123"/>
        <v>65</v>
      </c>
      <c r="E67" s="2">
        <v>10</v>
      </c>
      <c r="F67" s="20">
        <v>10</v>
      </c>
      <c r="G67" s="2">
        <f t="shared" si="124"/>
        <v>7.0710678118654746</v>
      </c>
      <c r="H67" s="20">
        <f t="shared" ref="H67:H94" si="141">(MAX($D$3:$D$95)-D67+0.5)*E67-$AB$3</f>
        <v>-93</v>
      </c>
      <c r="I67" s="2">
        <f t="shared" si="125"/>
        <v>230</v>
      </c>
      <c r="J67" s="20">
        <f t="shared" si="126"/>
        <v>-707.65329399999996</v>
      </c>
      <c r="K67" s="2">
        <f t="shared" si="127"/>
        <v>230</v>
      </c>
      <c r="L67" s="2">
        <f t="shared" si="128"/>
        <v>744.09218817902547</v>
      </c>
      <c r="M67" s="2">
        <f t="shared" si="129"/>
        <v>3.0767534521739131</v>
      </c>
      <c r="N67" s="2">
        <f t="shared" si="130"/>
        <v>71.994909871703015</v>
      </c>
      <c r="P67" s="4">
        <f t="shared" si="131"/>
        <v>0.52723191979886408</v>
      </c>
      <c r="Q67" s="4">
        <f t="shared" si="132"/>
        <v>0.64030438310040694</v>
      </c>
      <c r="R67" s="4">
        <f t="shared" si="133"/>
        <v>8.6051754510067823E-4</v>
      </c>
      <c r="S67" s="4">
        <f t="shared" ref="S67:S94" si="142">INDEX($Q$3:$Q$140, MATCH(MIN($R$3:$R$140),$R$3:$R$140,0))</f>
        <v>0.61608576198424669</v>
      </c>
      <c r="T67" s="2">
        <f t="shared" ref="T67:T94" si="143">INDEX($L$3:$L$140, MATCH(MIN($R$3:$R$140),$R$3:$R$140,0))</f>
        <v>1004.3435484280518</v>
      </c>
      <c r="U67" s="6">
        <f t="shared" si="134"/>
        <v>0.45644202470190959</v>
      </c>
      <c r="V67" s="4">
        <f t="shared" si="135"/>
        <v>0.8657329110044012</v>
      </c>
      <c r="W67" s="4">
        <f t="shared" si="136"/>
        <v>0.99101062079550628</v>
      </c>
      <c r="X67" s="3">
        <f t="shared" si="137"/>
        <v>30.15575370841939</v>
      </c>
      <c r="Y67" s="8">
        <f t="shared" si="138"/>
        <v>9.3211882386644938</v>
      </c>
      <c r="Z67" s="3">
        <f t="shared" si="139"/>
        <v>28.678998091673851</v>
      </c>
      <c r="AA67" s="3">
        <f t="shared" si="140"/>
        <v>22438.660763085547</v>
      </c>
      <c r="AB67" s="3"/>
      <c r="AC67" s="3"/>
      <c r="AD67" s="15"/>
    </row>
    <row r="68" spans="1:30" hidden="1">
      <c r="A68" s="7">
        <f t="shared" si="19"/>
        <v>490</v>
      </c>
      <c r="B68" s="3">
        <f t="shared" si="20"/>
        <v>614.65329399999996</v>
      </c>
      <c r="D68" s="1">
        <f t="shared" si="123"/>
        <v>66</v>
      </c>
      <c r="E68" s="2">
        <v>10</v>
      </c>
      <c r="F68" s="20">
        <v>10</v>
      </c>
      <c r="G68" s="2">
        <f t="shared" si="124"/>
        <v>7.0710678118654746</v>
      </c>
      <c r="H68" s="20">
        <f t="shared" si="141"/>
        <v>-103</v>
      </c>
      <c r="I68" s="2">
        <f t="shared" si="125"/>
        <v>230</v>
      </c>
      <c r="J68" s="20">
        <f t="shared" si="126"/>
        <v>-717.65329399999996</v>
      </c>
      <c r="K68" s="2">
        <f t="shared" si="127"/>
        <v>230</v>
      </c>
      <c r="L68" s="2">
        <f t="shared" si="128"/>
        <v>753.60881788169809</v>
      </c>
      <c r="M68" s="2">
        <f t="shared" si="129"/>
        <v>3.120231713043478</v>
      </c>
      <c r="N68" s="2">
        <f t="shared" si="130"/>
        <v>72.229915882019156</v>
      </c>
      <c r="P68" s="4">
        <f t="shared" si="131"/>
        <v>0.52669720804161557</v>
      </c>
      <c r="Q68" s="4">
        <f t="shared" si="132"/>
        <v>0.63905344880693926</v>
      </c>
      <c r="R68" s="4">
        <f t="shared" si="133"/>
        <v>8.4799093859230584E-4</v>
      </c>
      <c r="S68" s="4">
        <f t="shared" si="142"/>
        <v>0.61608576198424669</v>
      </c>
      <c r="T68" s="2">
        <f t="shared" si="143"/>
        <v>1004.3435484280518</v>
      </c>
      <c r="U68" s="6">
        <f t="shared" si="134"/>
        <v>0.46227972841501613</v>
      </c>
      <c r="V68" s="4">
        <f t="shared" si="135"/>
        <v>0.87769542225955821</v>
      </c>
      <c r="W68" s="4">
        <f t="shared" si="136"/>
        <v>0.99222175121195533</v>
      </c>
      <c r="X68" s="3">
        <f t="shared" si="137"/>
        <v>30.211620532296084</v>
      </c>
      <c r="Y68" s="8">
        <f t="shared" si="138"/>
        <v>9.2205300117904194</v>
      </c>
      <c r="Z68" s="3">
        <f t="shared" si="139"/>
        <v>28.77019015385763</v>
      </c>
      <c r="AA68" s="3">
        <f t="shared" si="140"/>
        <v>22767.743635634091</v>
      </c>
      <c r="AB68" s="3"/>
      <c r="AC68" s="3"/>
      <c r="AD68" s="15"/>
    </row>
    <row r="69" spans="1:30" hidden="1">
      <c r="A69" s="7">
        <f t="shared" ref="A69:A71" si="144">A68</f>
        <v>490</v>
      </c>
      <c r="B69" s="3">
        <f t="shared" ref="B69:B71" si="145">B68</f>
        <v>614.65329399999996</v>
      </c>
      <c r="D69" s="1">
        <f t="shared" si="123"/>
        <v>67</v>
      </c>
      <c r="E69" s="2">
        <v>10</v>
      </c>
      <c r="F69" s="20">
        <v>10</v>
      </c>
      <c r="G69" s="2">
        <f t="shared" si="124"/>
        <v>7.0710678118654746</v>
      </c>
      <c r="H69" s="20">
        <f t="shared" si="141"/>
        <v>-113</v>
      </c>
      <c r="I69" s="2">
        <f t="shared" si="125"/>
        <v>230</v>
      </c>
      <c r="J69" s="20">
        <f t="shared" si="126"/>
        <v>-727.65329399999996</v>
      </c>
      <c r="K69" s="2">
        <f t="shared" si="127"/>
        <v>230</v>
      </c>
      <c r="L69" s="2">
        <f t="shared" si="128"/>
        <v>763.13780948728413</v>
      </c>
      <c r="M69" s="2">
        <f t="shared" si="129"/>
        <v>3.1637099739130434</v>
      </c>
      <c r="N69" s="2">
        <f t="shared" si="130"/>
        <v>72.459056818439223</v>
      </c>
      <c r="P69" s="4">
        <f t="shared" si="131"/>
        <v>0.52617798841046648</v>
      </c>
      <c r="Q69" s="4">
        <f t="shared" si="132"/>
        <v>0.63783969015349429</v>
      </c>
      <c r="R69" s="4">
        <f t="shared" si="133"/>
        <v>8.3581193622424277E-4</v>
      </c>
      <c r="S69" s="4">
        <f t="shared" si="142"/>
        <v>0.61608576198424669</v>
      </c>
      <c r="T69" s="2">
        <f t="shared" si="143"/>
        <v>1004.3435484280518</v>
      </c>
      <c r="U69" s="6">
        <f t="shared" si="134"/>
        <v>0.46812501518313188</v>
      </c>
      <c r="V69" s="4">
        <f t="shared" si="135"/>
        <v>0.88967046416611406</v>
      </c>
      <c r="W69" s="4">
        <f t="shared" si="136"/>
        <v>0.99335210212901992</v>
      </c>
      <c r="X69" s="3">
        <f t="shared" si="137"/>
        <v>30.264376395151675</v>
      </c>
      <c r="Y69" s="8">
        <f t="shared" si="138"/>
        <v>9.1212969457790489</v>
      </c>
      <c r="Z69" s="3">
        <f t="shared" si="139"/>
        <v>28.857138122383788</v>
      </c>
      <c r="AA69" s="3">
        <f t="shared" si="140"/>
        <v>23095.889907694716</v>
      </c>
      <c r="AB69" s="3"/>
      <c r="AC69" s="3"/>
      <c r="AD69" s="15"/>
    </row>
    <row r="70" spans="1:30" hidden="1">
      <c r="A70" s="7">
        <f t="shared" si="144"/>
        <v>490</v>
      </c>
      <c r="B70" s="3">
        <f t="shared" si="145"/>
        <v>614.65329399999996</v>
      </c>
      <c r="D70" s="1">
        <f t="shared" si="123"/>
        <v>68</v>
      </c>
      <c r="E70" s="2">
        <v>10</v>
      </c>
      <c r="F70" s="20">
        <v>10</v>
      </c>
      <c r="G70" s="2">
        <f t="shared" si="124"/>
        <v>7.0710678118654746</v>
      </c>
      <c r="H70" s="20">
        <f t="shared" si="141"/>
        <v>-123</v>
      </c>
      <c r="I70" s="2">
        <f t="shared" si="125"/>
        <v>230</v>
      </c>
      <c r="J70" s="20">
        <f t="shared" si="126"/>
        <v>-737.65329399999996</v>
      </c>
      <c r="K70" s="2">
        <f t="shared" si="127"/>
        <v>230</v>
      </c>
      <c r="L70" s="2">
        <f t="shared" si="128"/>
        <v>772.6787056397053</v>
      </c>
      <c r="M70" s="2">
        <f t="shared" si="129"/>
        <v>3.2071882347826084</v>
      </c>
      <c r="N70" s="2">
        <f t="shared" si="130"/>
        <v>72.682542474925143</v>
      </c>
      <c r="P70" s="4">
        <f t="shared" si="131"/>
        <v>0.52567361103106969</v>
      </c>
      <c r="Q70" s="4">
        <f t="shared" si="132"/>
        <v>0.63666150848794889</v>
      </c>
      <c r="R70" s="4">
        <f t="shared" si="133"/>
        <v>8.2396668089986132E-4</v>
      </c>
      <c r="S70" s="4">
        <f t="shared" si="142"/>
        <v>0.61608576198424669</v>
      </c>
      <c r="T70" s="2">
        <f t="shared" si="143"/>
        <v>1004.3435484280518</v>
      </c>
      <c r="U70" s="6">
        <f t="shared" si="134"/>
        <v>0.47397760445428011</v>
      </c>
      <c r="V70" s="4">
        <f t="shared" si="135"/>
        <v>0.90165759609771601</v>
      </c>
      <c r="W70" s="4">
        <f t="shared" si="136"/>
        <v>0.99440202694631785</v>
      </c>
      <c r="X70" s="3">
        <f t="shared" si="137"/>
        <v>30.314057803833656</v>
      </c>
      <c r="Y70" s="8">
        <f t="shared" si="138"/>
        <v>9.0234572843694316</v>
      </c>
      <c r="Z70" s="3">
        <f t="shared" si="139"/>
        <v>28.939926039493059</v>
      </c>
      <c r="AA70" s="3">
        <f t="shared" si="140"/>
        <v>23423.026946553397</v>
      </c>
      <c r="AB70" s="3"/>
      <c r="AC70" s="3"/>
      <c r="AD70" s="15"/>
    </row>
    <row r="71" spans="1:30" hidden="1">
      <c r="A71" s="7">
        <f t="shared" si="144"/>
        <v>490</v>
      </c>
      <c r="B71" s="3">
        <f t="shared" si="145"/>
        <v>614.65329399999996</v>
      </c>
      <c r="D71" s="1">
        <f t="shared" si="123"/>
        <v>69</v>
      </c>
      <c r="E71" s="2">
        <v>10</v>
      </c>
      <c r="F71" s="20">
        <v>10</v>
      </c>
      <c r="G71" s="2">
        <f t="shared" si="124"/>
        <v>7.0710678118654746</v>
      </c>
      <c r="H71" s="20">
        <f t="shared" si="141"/>
        <v>-133</v>
      </c>
      <c r="I71" s="2">
        <f t="shared" si="125"/>
        <v>230</v>
      </c>
      <c r="J71" s="20">
        <f t="shared" si="126"/>
        <v>-747.65329399999996</v>
      </c>
      <c r="K71" s="2">
        <f t="shared" si="127"/>
        <v>230</v>
      </c>
      <c r="L71" s="2">
        <f t="shared" si="128"/>
        <v>782.23107073872382</v>
      </c>
      <c r="M71" s="2">
        <f t="shared" si="129"/>
        <v>3.2506664956521738</v>
      </c>
      <c r="N71" s="2">
        <f t="shared" si="130"/>
        <v>72.900573105346069</v>
      </c>
      <c r="P71" s="4">
        <f t="shared" si="131"/>
        <v>0.52518346121767667</v>
      </c>
      <c r="Q71" s="4">
        <f t="shared" si="132"/>
        <v>0.63551739387240835</v>
      </c>
      <c r="R71" s="4">
        <f t="shared" si="133"/>
        <v>8.1244202339372437E-4</v>
      </c>
      <c r="S71" s="4">
        <f t="shared" si="142"/>
        <v>0.61608576198424669</v>
      </c>
      <c r="T71" s="2">
        <f t="shared" si="143"/>
        <v>1004.3435484280518</v>
      </c>
      <c r="U71" s="6">
        <f t="shared" si="134"/>
        <v>0.47983722902198067</v>
      </c>
      <c r="V71" s="4">
        <f t="shared" si="135"/>
        <v>0.91365639715584834</v>
      </c>
      <c r="W71" s="4">
        <f t="shared" si="136"/>
        <v>0.99537184471313223</v>
      </c>
      <c r="X71" s="3">
        <f t="shared" si="137"/>
        <v>30.360698885360438</v>
      </c>
      <c r="Y71" s="8">
        <f t="shared" si="138"/>
        <v>8.926979513915656</v>
      </c>
      <c r="Z71" s="3">
        <f t="shared" si="139"/>
        <v>29.018633213258973</v>
      </c>
      <c r="AA71" s="3">
        <f t="shared" si="140"/>
        <v>23749.081997471476</v>
      </c>
      <c r="AB71" s="3"/>
      <c r="AC71" s="3"/>
      <c r="AD71" s="15"/>
    </row>
    <row r="72" spans="1:30" hidden="1">
      <c r="A72" s="7">
        <f t="shared" ref="A72:A94" si="146">A71</f>
        <v>490</v>
      </c>
      <c r="B72" s="3">
        <f t="shared" ref="B72:B94" si="147">B71</f>
        <v>614.65329399999996</v>
      </c>
      <c r="D72" s="1">
        <f t="shared" ref="D72:D94" si="148">D71+1</f>
        <v>70</v>
      </c>
      <c r="E72" s="2">
        <v>10</v>
      </c>
      <c r="F72" s="20">
        <v>10</v>
      </c>
      <c r="G72" s="2">
        <f t="shared" ref="G72:G94" si="149">F72/SQRT(2)</f>
        <v>7.0710678118654746</v>
      </c>
      <c r="H72" s="20">
        <f t="shared" si="141"/>
        <v>-143</v>
      </c>
      <c r="I72" s="2">
        <f t="shared" ref="I72:I94" si="150">I71</f>
        <v>230</v>
      </c>
      <c r="J72" s="20">
        <f t="shared" ref="J72:J94" si="151">H72-B72</f>
        <v>-757.65329399999996</v>
      </c>
      <c r="K72" s="2">
        <f t="shared" ref="K72:K94" si="152">I72</f>
        <v>230</v>
      </c>
      <c r="L72" s="2">
        <f t="shared" ref="L72:L94" si="153">SQRT(J72^2+K72^2)</f>
        <v>791.79448969353803</v>
      </c>
      <c r="M72" s="2">
        <f t="shared" ref="M72:M94" si="154">ABS(J72/K72)</f>
        <v>3.2941447565217388</v>
      </c>
      <c r="N72" s="2">
        <f t="shared" ref="N72:N94" si="155">ATAN(M72)*180/PI()</f>
        <v>73.113339938282124</v>
      </c>
      <c r="P72" s="4">
        <f t="shared" ref="P72:P94" si="156">0.209 * (N72+2)^-0.32 * F72</f>
        <v>0.52470695716193527</v>
      </c>
      <c r="Q72" s="4">
        <f t="shared" ref="Q72:Q94" si="157">MIN(1.087*(N72+6)^-0.65 * F72, 0.17*F72)</f>
        <v>0.63440591911168298</v>
      </c>
      <c r="R72" s="4">
        <f t="shared" ref="R72:R94" si="158">Q72/L72</f>
        <v>8.0122547879466573E-4</v>
      </c>
      <c r="S72" s="4">
        <f t="shared" si="142"/>
        <v>0.61608576198424669</v>
      </c>
      <c r="T72" s="2">
        <f t="shared" si="143"/>
        <v>1004.3435484280518</v>
      </c>
      <c r="U72" s="6">
        <f t="shared" ref="U72:U94" si="159">S72*L72/T72</f>
        <v>0.48570363426067908</v>
      </c>
      <c r="V72" s="4">
        <f t="shared" ref="V72:V94" si="160">U72/P72</f>
        <v>0.92566646512137063</v>
      </c>
      <c r="W72" s="4">
        <f t="shared" ref="W72:W94" si="161">POWER(V72*(1.9-0.9*V72),0.3)</f>
        <v>0.99626184012829344</v>
      </c>
      <c r="X72" s="3">
        <f t="shared" ref="X72:X94" si="162">0.6*A72*G72*E72*(1+0.5*SIN(N72*PI()/180)^1.5)*W72/1000</f>
        <v>30.40433146387825</v>
      </c>
      <c r="Y72" s="8">
        <f t="shared" ref="Y72:Y94" si="163">X72*COS(N72*PI()/180)</f>
        <v>8.8318324107037114</v>
      </c>
      <c r="Z72" s="3">
        <f t="shared" ref="Z72:Z94" si="164">X72*SIN(N72*PI()/180)</f>
        <v>29.093334426198389</v>
      </c>
      <c r="AA72" s="3">
        <f t="shared" ref="AA72:AA94" si="165">L72*X72</f>
        <v>24073.98211591466</v>
      </c>
      <c r="AB72" s="3"/>
      <c r="AC72" s="3"/>
      <c r="AD72" s="15"/>
    </row>
    <row r="73" spans="1:30" hidden="1">
      <c r="A73" s="7">
        <f t="shared" si="146"/>
        <v>490</v>
      </c>
      <c r="B73" s="3">
        <f t="shared" si="147"/>
        <v>614.65329399999996</v>
      </c>
      <c r="D73" s="1">
        <f t="shared" si="148"/>
        <v>71</v>
      </c>
      <c r="E73" s="2">
        <v>10</v>
      </c>
      <c r="F73" s="20">
        <v>10</v>
      </c>
      <c r="G73" s="2">
        <f t="shared" si="149"/>
        <v>7.0710678118654746</v>
      </c>
      <c r="H73" s="20">
        <f t="shared" si="141"/>
        <v>-153</v>
      </c>
      <c r="I73" s="2">
        <f t="shared" si="150"/>
        <v>230</v>
      </c>
      <c r="J73" s="20">
        <f t="shared" si="151"/>
        <v>-767.65329399999996</v>
      </c>
      <c r="K73" s="2">
        <f t="shared" si="152"/>
        <v>230</v>
      </c>
      <c r="L73" s="2">
        <f t="shared" si="153"/>
        <v>801.36856675879824</v>
      </c>
      <c r="M73" s="2">
        <f t="shared" si="154"/>
        <v>3.3376230173913042</v>
      </c>
      <c r="N73" s="2">
        <f t="shared" si="155"/>
        <v>73.321025660429527</v>
      </c>
      <c r="P73" s="4">
        <f t="shared" si="156"/>
        <v>0.52424354779881566</v>
      </c>
      <c r="Q73" s="4">
        <f t="shared" si="157"/>
        <v>0.63332573425084315</v>
      </c>
      <c r="R73" s="4">
        <f t="shared" si="158"/>
        <v>7.9030518605487825E-4</v>
      </c>
      <c r="S73" s="4">
        <f t="shared" si="142"/>
        <v>0.61608576198424669</v>
      </c>
      <c r="T73" s="2">
        <f t="shared" si="143"/>
        <v>1004.3435484280518</v>
      </c>
      <c r="U73" s="6">
        <f t="shared" si="159"/>
        <v>0.49157657741173405</v>
      </c>
      <c r="V73" s="4">
        <f t="shared" si="160"/>
        <v>0.9376874154689302</v>
      </c>
      <c r="W73" s="4">
        <f t="shared" si="161"/>
        <v>0.99707226351406919</v>
      </c>
      <c r="X73" s="3">
        <f t="shared" si="162"/>
        <v>30.444985131886451</v>
      </c>
      <c r="Y73" s="8">
        <f t="shared" si="163"/>
        <v>8.737985080517273</v>
      </c>
      <c r="Z73" s="3">
        <f t="shared" si="164"/>
        <v>29.164100130356235</v>
      </c>
      <c r="AA73" s="3">
        <f t="shared" si="165"/>
        <v>24397.654100132768</v>
      </c>
      <c r="AB73" s="3"/>
      <c r="AC73" s="3"/>
      <c r="AD73" s="15"/>
    </row>
    <row r="74" spans="1:30" hidden="1">
      <c r="A74" s="7">
        <f t="shared" si="146"/>
        <v>490</v>
      </c>
      <c r="B74" s="3">
        <f t="shared" si="147"/>
        <v>614.65329399999996</v>
      </c>
      <c r="D74" s="1">
        <f t="shared" si="148"/>
        <v>72</v>
      </c>
      <c r="E74" s="2">
        <v>10</v>
      </c>
      <c r="F74" s="20">
        <v>10</v>
      </c>
      <c r="G74" s="2">
        <f t="shared" si="149"/>
        <v>7.0710678118654746</v>
      </c>
      <c r="H74" s="20">
        <f t="shared" si="141"/>
        <v>-163</v>
      </c>
      <c r="I74" s="2">
        <f t="shared" si="150"/>
        <v>230</v>
      </c>
      <c r="J74" s="20">
        <f t="shared" si="151"/>
        <v>-777.65329399999996</v>
      </c>
      <c r="K74" s="2">
        <f t="shared" si="152"/>
        <v>230</v>
      </c>
      <c r="L74" s="2">
        <f t="shared" si="153"/>
        <v>810.95292444694371</v>
      </c>
      <c r="M74" s="2">
        <f t="shared" si="154"/>
        <v>3.3811012782608696</v>
      </c>
      <c r="N74" s="2">
        <f t="shared" si="155"/>
        <v>73.52380487068082</v>
      </c>
      <c r="P74" s="4">
        <f t="shared" si="156"/>
        <v>0.52379271083423551</v>
      </c>
      <c r="Q74" s="4">
        <f t="shared" si="157"/>
        <v>0.63227556149996744</v>
      </c>
      <c r="R74" s="4">
        <f t="shared" si="158"/>
        <v>7.7966987039496626E-4</v>
      </c>
      <c r="S74" s="4">
        <f t="shared" si="142"/>
        <v>0.61608576198424669</v>
      </c>
      <c r="T74" s="2">
        <f t="shared" si="143"/>
        <v>1004.3435484280518</v>
      </c>
      <c r="U74" s="6">
        <f t="shared" si="159"/>
        <v>0.49745582691622137</v>
      </c>
      <c r="V74" s="4">
        <f t="shared" si="160"/>
        <v>0.94971888044018815</v>
      </c>
      <c r="W74" s="4">
        <f t="shared" si="161"/>
        <v>0.99780333076091099</v>
      </c>
      <c r="X74" s="3">
        <f t="shared" si="162"/>
        <v>30.482687315959257</v>
      </c>
      <c r="Y74" s="8">
        <f t="shared" si="163"/>
        <v>8.6454069913515887</v>
      </c>
      <c r="Z74" s="3">
        <f t="shared" si="164"/>
        <v>29.230996629544336</v>
      </c>
      <c r="AA74" s="3">
        <f t="shared" si="165"/>
        <v>24720.024423878916</v>
      </c>
      <c r="AB74" s="3"/>
      <c r="AC74" s="3"/>
      <c r="AD74" s="15"/>
    </row>
    <row r="75" spans="1:30" hidden="1">
      <c r="A75" s="7">
        <f t="shared" si="146"/>
        <v>490</v>
      </c>
      <c r="B75" s="3">
        <f t="shared" si="147"/>
        <v>614.65329399999996</v>
      </c>
      <c r="D75" s="1">
        <f t="shared" si="148"/>
        <v>73</v>
      </c>
      <c r="E75" s="2">
        <v>10</v>
      </c>
      <c r="F75" s="20">
        <v>10</v>
      </c>
      <c r="G75" s="2">
        <f t="shared" si="149"/>
        <v>7.0710678118654746</v>
      </c>
      <c r="H75" s="20">
        <f t="shared" si="141"/>
        <v>-173</v>
      </c>
      <c r="I75" s="2">
        <f t="shared" si="150"/>
        <v>230</v>
      </c>
      <c r="J75" s="20">
        <f t="shared" si="151"/>
        <v>-787.65329399999996</v>
      </c>
      <c r="K75" s="2">
        <f t="shared" si="152"/>
        <v>230</v>
      </c>
      <c r="L75" s="2">
        <f t="shared" si="153"/>
        <v>820.54720251125741</v>
      </c>
      <c r="M75" s="2">
        <f t="shared" si="154"/>
        <v>3.4245795391304346</v>
      </c>
      <c r="N75" s="2">
        <f t="shared" si="155"/>
        <v>73.721844506813142</v>
      </c>
      <c r="P75" s="4">
        <f t="shared" si="156"/>
        <v>0.52335395092045633</v>
      </c>
      <c r="Q75" s="4">
        <f t="shared" si="157"/>
        <v>0.63125419054836873</v>
      </c>
      <c r="R75" s="4">
        <f t="shared" si="158"/>
        <v>7.6930880833721239E-4</v>
      </c>
      <c r="S75" s="4">
        <f t="shared" si="142"/>
        <v>0.61608576198424669</v>
      </c>
      <c r="T75" s="2">
        <f t="shared" si="143"/>
        <v>1004.3435484280518</v>
      </c>
      <c r="U75" s="6">
        <f t="shared" si="159"/>
        <v>0.50334116179111843</v>
      </c>
      <c r="V75" s="4">
        <f t="shared" si="160"/>
        <v>0.96176050817206959</v>
      </c>
      <c r="W75" s="4">
        <f t="shared" si="161"/>
        <v>0.99845522324006197</v>
      </c>
      <c r="X75" s="3">
        <f t="shared" si="162"/>
        <v>30.517463337177034</v>
      </c>
      <c r="Y75" s="8">
        <f t="shared" si="163"/>
        <v>8.5540680000726983</v>
      </c>
      <c r="Z75" s="3">
        <f t="shared" si="164"/>
        <v>29.294086249379355</v>
      </c>
      <c r="AA75" s="3">
        <f t="shared" si="165"/>
        <v>25041.019169060477</v>
      </c>
      <c r="AB75" s="3"/>
      <c r="AC75" s="3"/>
      <c r="AD75" s="15"/>
    </row>
    <row r="76" spans="1:30" hidden="1">
      <c r="A76" s="7">
        <f t="shared" si="146"/>
        <v>490</v>
      </c>
      <c r="B76" s="3">
        <f t="shared" si="147"/>
        <v>614.65329399999996</v>
      </c>
      <c r="D76" s="1">
        <f t="shared" si="148"/>
        <v>74</v>
      </c>
      <c r="E76" s="2">
        <v>10</v>
      </c>
      <c r="F76" s="20">
        <v>10</v>
      </c>
      <c r="G76" s="2">
        <f t="shared" si="149"/>
        <v>7.0710678118654746</v>
      </c>
      <c r="H76" s="20">
        <f t="shared" si="141"/>
        <v>-183</v>
      </c>
      <c r="I76" s="2">
        <f t="shared" si="150"/>
        <v>230</v>
      </c>
      <c r="J76" s="20">
        <f t="shared" si="151"/>
        <v>-797.65329399999996</v>
      </c>
      <c r="K76" s="2">
        <f t="shared" si="152"/>
        <v>230</v>
      </c>
      <c r="L76" s="2">
        <f t="shared" si="153"/>
        <v>830.15105699447884</v>
      </c>
      <c r="M76" s="2">
        <f t="shared" si="154"/>
        <v>3.4680578</v>
      </c>
      <c r="N76" s="2">
        <f t="shared" si="155"/>
        <v>73.915304246585904</v>
      </c>
      <c r="P76" s="4">
        <f t="shared" si="156"/>
        <v>0.52292679796666075</v>
      </c>
      <c r="Q76" s="4">
        <f t="shared" si="157"/>
        <v>0.63026047423430298</v>
      </c>
      <c r="R76" s="4">
        <f t="shared" si="158"/>
        <v>7.592117951594618E-4</v>
      </c>
      <c r="S76" s="4">
        <f t="shared" si="142"/>
        <v>0.61608576198424669</v>
      </c>
      <c r="T76" s="2">
        <f t="shared" si="143"/>
        <v>1004.3435484280518</v>
      </c>
      <c r="U76" s="6">
        <f t="shared" si="159"/>
        <v>0.50923237104570263</v>
      </c>
      <c r="V76" s="4">
        <f t="shared" si="160"/>
        <v>0.97381196187648578</v>
      </c>
      <c r="W76" s="4">
        <f t="shared" si="161"/>
        <v>0.99902808768114526</v>
      </c>
      <c r="X76" s="3">
        <f t="shared" si="162"/>
        <v>30.549336466463568</v>
      </c>
      <c r="Y76" s="8">
        <f t="shared" si="163"/>
        <v>8.4639383737282312</v>
      </c>
      <c r="Z76" s="3">
        <f t="shared" si="164"/>
        <v>29.353427495727505</v>
      </c>
      <c r="AA76" s="3">
        <f t="shared" si="165"/>
        <v>25360.563958114708</v>
      </c>
      <c r="AB76" s="3"/>
      <c r="AC76" s="3"/>
      <c r="AD76" s="15"/>
    </row>
    <row r="77" spans="1:30" hidden="1">
      <c r="A77" s="7">
        <f t="shared" si="146"/>
        <v>490</v>
      </c>
      <c r="B77" s="3">
        <f t="shared" si="147"/>
        <v>614.65329399999996</v>
      </c>
      <c r="D77" s="1">
        <f t="shared" si="148"/>
        <v>75</v>
      </c>
      <c r="E77" s="2">
        <v>10</v>
      </c>
      <c r="F77" s="20">
        <v>10</v>
      </c>
      <c r="G77" s="2">
        <f t="shared" si="149"/>
        <v>7.0710678118654746</v>
      </c>
      <c r="H77" s="20">
        <f t="shared" si="141"/>
        <v>-193</v>
      </c>
      <c r="I77" s="2">
        <f t="shared" si="150"/>
        <v>230</v>
      </c>
      <c r="J77" s="20">
        <f t="shared" si="151"/>
        <v>-807.65329399999996</v>
      </c>
      <c r="K77" s="2">
        <f t="shared" si="152"/>
        <v>230</v>
      </c>
      <c r="L77" s="2">
        <f t="shared" si="153"/>
        <v>839.76415933823375</v>
      </c>
      <c r="M77" s="2">
        <f t="shared" si="154"/>
        <v>3.5115360608695649</v>
      </c>
      <c r="N77" s="2">
        <f t="shared" si="155"/>
        <v>74.104336884924606</v>
      </c>
      <c r="P77" s="4">
        <f t="shared" si="156"/>
        <v>0.52251080557331775</v>
      </c>
      <c r="Q77" s="4">
        <f t="shared" si="157"/>
        <v>0.6292933245394744</v>
      </c>
      <c r="R77" s="4">
        <f t="shared" si="158"/>
        <v>7.4936911458019543E-4</v>
      </c>
      <c r="S77" s="4">
        <f t="shared" si="142"/>
        <v>0.61608576198424669</v>
      </c>
      <c r="T77" s="2">
        <f t="shared" si="143"/>
        <v>1004.3435484280518</v>
      </c>
      <c r="U77" s="6">
        <f t="shared" si="159"/>
        <v>0.51512925313525693</v>
      </c>
      <c r="V77" s="4">
        <f t="shared" si="160"/>
        <v>0.98587291906822572</v>
      </c>
      <c r="W77" s="4">
        <f t="shared" si="161"/>
        <v>0.99952203601193268</v>
      </c>
      <c r="X77" s="3">
        <f t="shared" si="162"/>
        <v>30.578327975010112</v>
      </c>
      <c r="Y77" s="8">
        <f t="shared" si="163"/>
        <v>8.3749888061364928</v>
      </c>
      <c r="Z77" s="3">
        <f t="shared" si="164"/>
        <v>29.409075202127223</v>
      </c>
      <c r="AA77" s="3">
        <f t="shared" si="165"/>
        <v>25678.583885903161</v>
      </c>
      <c r="AB77" s="3"/>
      <c r="AC77" s="3"/>
      <c r="AD77" s="15"/>
    </row>
    <row r="78" spans="1:30" hidden="1">
      <c r="A78" s="7">
        <f t="shared" si="146"/>
        <v>490</v>
      </c>
      <c r="B78" s="3">
        <f t="shared" si="147"/>
        <v>614.65329399999996</v>
      </c>
      <c r="D78" s="1">
        <f t="shared" si="148"/>
        <v>76</v>
      </c>
      <c r="E78" s="2">
        <v>10</v>
      </c>
      <c r="F78" s="20">
        <v>10</v>
      </c>
      <c r="G78" s="2">
        <f t="shared" si="149"/>
        <v>7.0710678118654746</v>
      </c>
      <c r="H78" s="20">
        <f t="shared" si="141"/>
        <v>-203</v>
      </c>
      <c r="I78" s="2">
        <f t="shared" si="150"/>
        <v>230</v>
      </c>
      <c r="J78" s="20">
        <f t="shared" si="151"/>
        <v>-817.65329399999996</v>
      </c>
      <c r="K78" s="2">
        <f t="shared" si="152"/>
        <v>230</v>
      </c>
      <c r="L78" s="2">
        <f t="shared" si="153"/>
        <v>849.38619554890954</v>
      </c>
      <c r="M78" s="2">
        <f t="shared" si="154"/>
        <v>3.5550143217391303</v>
      </c>
      <c r="N78" s="2">
        <f t="shared" si="155"/>
        <v>74.289088688753694</v>
      </c>
      <c r="P78" s="4">
        <f t="shared" si="156"/>
        <v>0.52210554958001332</v>
      </c>
      <c r="Q78" s="4">
        <f t="shared" si="157"/>
        <v>0.62835170888060565</v>
      </c>
      <c r="R78" s="4">
        <f t="shared" si="158"/>
        <v>7.3977151050181364E-4</v>
      </c>
      <c r="S78" s="4">
        <f t="shared" si="142"/>
        <v>0.61608576198424669</v>
      </c>
      <c r="T78" s="2">
        <f t="shared" si="143"/>
        <v>1004.3435484280518</v>
      </c>
      <c r="U78" s="6">
        <f t="shared" si="159"/>
        <v>0.5210316154493998</v>
      </c>
      <c r="V78" s="4">
        <f t="shared" si="160"/>
        <v>0.99794307083792266</v>
      </c>
      <c r="W78" s="4">
        <f t="shared" si="161"/>
        <v>0.99993714515753396</v>
      </c>
      <c r="X78" s="3">
        <f t="shared" si="162"/>
        <v>30.60445717995028</v>
      </c>
      <c r="Y78" s="8">
        <f t="shared" si="163"/>
        <v>8.287190430307902</v>
      </c>
      <c r="Z78" s="3">
        <f t="shared" si="164"/>
        <v>29.461080666724079</v>
      </c>
      <c r="AA78" s="3">
        <f t="shared" si="165"/>
        <v>25995.003450917477</v>
      </c>
      <c r="AB78" s="3"/>
      <c r="AC78" s="3"/>
      <c r="AD78" s="15"/>
    </row>
    <row r="79" spans="1:30" hidden="1">
      <c r="A79" s="7">
        <f t="shared" si="146"/>
        <v>490</v>
      </c>
      <c r="B79" s="3">
        <f t="shared" si="147"/>
        <v>614.65329399999996</v>
      </c>
      <c r="D79" s="1">
        <f t="shared" si="148"/>
        <v>77</v>
      </c>
      <c r="E79" s="2">
        <v>10</v>
      </c>
      <c r="F79" s="20">
        <v>10</v>
      </c>
      <c r="G79" s="2">
        <f t="shared" si="149"/>
        <v>7.0710678118654746</v>
      </c>
      <c r="H79" s="20">
        <f t="shared" si="141"/>
        <v>-213</v>
      </c>
      <c r="I79" s="2">
        <f t="shared" si="150"/>
        <v>230</v>
      </c>
      <c r="J79" s="20">
        <f t="shared" si="151"/>
        <v>-827.65329399999996</v>
      </c>
      <c r="K79" s="2">
        <f t="shared" si="152"/>
        <v>230</v>
      </c>
      <c r="L79" s="2">
        <f t="shared" si="153"/>
        <v>859.01686541595348</v>
      </c>
      <c r="M79" s="2">
        <f t="shared" si="154"/>
        <v>3.5984925826086953</v>
      </c>
      <c r="N79" s="2">
        <f t="shared" si="155"/>
        <v>74.469699730932675</v>
      </c>
      <c r="P79" s="4">
        <f t="shared" si="156"/>
        <v>0.52171062671738422</v>
      </c>
      <c r="Q79" s="4">
        <f t="shared" si="157"/>
        <v>0.62743464667299198</v>
      </c>
      <c r="R79" s="4">
        <f t="shared" si="158"/>
        <v>7.304101606540348E-4</v>
      </c>
      <c r="S79" s="4">
        <f t="shared" si="142"/>
        <v>0.61608576198424669</v>
      </c>
      <c r="T79" s="2">
        <f t="shared" si="143"/>
        <v>1004.3435484280518</v>
      </c>
      <c r="U79" s="6">
        <f t="shared" si="159"/>
        <v>0.52693927383257255</v>
      </c>
      <c r="V79" s="4">
        <f t="shared" si="160"/>
        <v>1.0100221211672209</v>
      </c>
      <c r="W79" s="4">
        <f t="shared" si="161"/>
        <v>1.0002734567962641</v>
      </c>
      <c r="X79" s="3">
        <f t="shared" si="162"/>
        <v>30.627741485434072</v>
      </c>
      <c r="Y79" s="8">
        <f t="shared" si="163"/>
        <v>8.2005148271900303</v>
      </c>
      <c r="Z79" s="3">
        <f t="shared" si="164"/>
        <v>29.509491779215985</v>
      </c>
      <c r="AA79" s="3">
        <f t="shared" si="165"/>
        <v>26309.746485587733</v>
      </c>
      <c r="AB79" s="3"/>
      <c r="AC79" s="3"/>
      <c r="AD79" s="15"/>
    </row>
    <row r="80" spans="1:30" hidden="1">
      <c r="A80" s="7">
        <f t="shared" si="146"/>
        <v>490</v>
      </c>
      <c r="B80" s="3">
        <f t="shared" si="147"/>
        <v>614.65329399999996</v>
      </c>
      <c r="D80" s="1">
        <f t="shared" si="148"/>
        <v>78</v>
      </c>
      <c r="E80" s="2">
        <v>10</v>
      </c>
      <c r="F80" s="20">
        <v>10</v>
      </c>
      <c r="G80" s="2">
        <f t="shared" si="149"/>
        <v>7.0710678118654746</v>
      </c>
      <c r="H80" s="20">
        <f t="shared" si="141"/>
        <v>-223</v>
      </c>
      <c r="I80" s="2">
        <f t="shared" si="150"/>
        <v>230</v>
      </c>
      <c r="J80" s="20">
        <f t="shared" si="151"/>
        <v>-837.65329399999996</v>
      </c>
      <c r="K80" s="2">
        <f t="shared" si="152"/>
        <v>230</v>
      </c>
      <c r="L80" s="2">
        <f t="shared" si="153"/>
        <v>868.6558817788839</v>
      </c>
      <c r="M80" s="2">
        <f t="shared" si="154"/>
        <v>3.6419708434782607</v>
      </c>
      <c r="N80" s="2">
        <f t="shared" si="155"/>
        <v>74.646304204650619</v>
      </c>
      <c r="P80" s="4">
        <f t="shared" si="156"/>
        <v>0.52132565335465963</v>
      </c>
      <c r="Q80" s="4">
        <f t="shared" si="157"/>
        <v>0.62654120614331499</v>
      </c>
      <c r="R80" s="4">
        <f t="shared" si="158"/>
        <v>7.2127665199278634E-4</v>
      </c>
      <c r="S80" s="4">
        <f t="shared" si="142"/>
        <v>0.61608576198424669</v>
      </c>
      <c r="T80" s="2">
        <f t="shared" si="143"/>
        <v>1004.3435484280518</v>
      </c>
      <c r="U80" s="6">
        <f t="shared" si="159"/>
        <v>0.53285205213440878</v>
      </c>
      <c r="V80" s="4">
        <f t="shared" si="160"/>
        <v>1.0221097862834456</v>
      </c>
      <c r="W80" s="4">
        <f t="shared" si="161"/>
        <v>1.0005309770694222</v>
      </c>
      <c r="X80" s="3">
        <f t="shared" si="162"/>
        <v>30.648196419232384</v>
      </c>
      <c r="Y80" s="8">
        <f t="shared" si="163"/>
        <v>8.1149340311700016</v>
      </c>
      <c r="Z80" s="3">
        <f t="shared" si="164"/>
        <v>29.554353138270642</v>
      </c>
      <c r="AA80" s="3">
        <f t="shared" si="165"/>
        <v>26622.736085480738</v>
      </c>
      <c r="AB80" s="3"/>
      <c r="AC80" s="3"/>
      <c r="AD80" s="15"/>
    </row>
    <row r="81" spans="1:30" hidden="1">
      <c r="A81" s="7">
        <f t="shared" si="146"/>
        <v>490</v>
      </c>
      <c r="B81" s="3">
        <f t="shared" si="147"/>
        <v>614.65329399999996</v>
      </c>
      <c r="D81" s="1">
        <f t="shared" si="148"/>
        <v>79</v>
      </c>
      <c r="E81" s="2">
        <v>10</v>
      </c>
      <c r="F81" s="20">
        <v>10</v>
      </c>
      <c r="G81" s="2">
        <f t="shared" si="149"/>
        <v>7.0710678118654746</v>
      </c>
      <c r="H81" s="20">
        <f t="shared" si="141"/>
        <v>-233</v>
      </c>
      <c r="I81" s="2">
        <f t="shared" si="150"/>
        <v>230</v>
      </c>
      <c r="J81" s="20">
        <f t="shared" si="151"/>
        <v>-847.65329399999996</v>
      </c>
      <c r="K81" s="2">
        <f t="shared" si="152"/>
        <v>230</v>
      </c>
      <c r="L81" s="2">
        <f t="shared" si="153"/>
        <v>878.30296983959374</v>
      </c>
      <c r="M81" s="2">
        <f t="shared" si="154"/>
        <v>3.6854491043478261</v>
      </c>
      <c r="N81" s="2">
        <f t="shared" si="155"/>
        <v>74.819030719540379</v>
      </c>
      <c r="P81" s="4">
        <f t="shared" si="156"/>
        <v>0.52095026433508396</v>
      </c>
      <c r="Q81" s="4">
        <f t="shared" si="157"/>
        <v>0.62567050137111746</v>
      </c>
      <c r="R81" s="4">
        <f t="shared" si="158"/>
        <v>7.1236295772219118E-4</v>
      </c>
      <c r="S81" s="4">
        <f t="shared" si="142"/>
        <v>0.61608576198424669</v>
      </c>
      <c r="T81" s="2">
        <f t="shared" si="143"/>
        <v>1004.3435484280518</v>
      </c>
      <c r="U81" s="6">
        <f t="shared" si="159"/>
        <v>0.53876978178788637</v>
      </c>
      <c r="V81" s="4">
        <f t="shared" si="160"/>
        <v>1.0342057940512737</v>
      </c>
      <c r="W81" s="4">
        <f t="shared" si="161"/>
        <v>1.0007096762421643</v>
      </c>
      <c r="X81" s="3">
        <f t="shared" si="162"/>
        <v>30.66583566498759</v>
      </c>
      <c r="Y81" s="8">
        <f t="shared" si="163"/>
        <v>8.030420532718086</v>
      </c>
      <c r="Z81" s="3">
        <f t="shared" si="164"/>
        <v>29.595706159842255</v>
      </c>
      <c r="AA81" s="3">
        <f t="shared" si="165"/>
        <v>26933.894537171534</v>
      </c>
      <c r="AB81" s="3"/>
      <c r="AC81" s="3"/>
      <c r="AD81" s="15"/>
    </row>
    <row r="82" spans="1:30" hidden="1">
      <c r="A82" s="7">
        <f t="shared" si="146"/>
        <v>490</v>
      </c>
      <c r="B82" s="3">
        <f t="shared" si="147"/>
        <v>614.65329399999996</v>
      </c>
      <c r="D82" s="1">
        <f t="shared" si="148"/>
        <v>80</v>
      </c>
      <c r="E82" s="2">
        <v>10</v>
      </c>
      <c r="F82" s="20">
        <v>10</v>
      </c>
      <c r="G82" s="2">
        <f t="shared" si="149"/>
        <v>7.0710678118654746</v>
      </c>
      <c r="H82" s="20">
        <f t="shared" si="141"/>
        <v>-243</v>
      </c>
      <c r="I82" s="2">
        <f t="shared" si="150"/>
        <v>230</v>
      </c>
      <c r="J82" s="20">
        <f t="shared" si="151"/>
        <v>-857.65329399999996</v>
      </c>
      <c r="K82" s="2">
        <f t="shared" si="152"/>
        <v>230</v>
      </c>
      <c r="L82" s="2">
        <f t="shared" si="153"/>
        <v>887.95786651679055</v>
      </c>
      <c r="M82" s="2">
        <f t="shared" si="154"/>
        <v>3.7289273652173911</v>
      </c>
      <c r="N82" s="2">
        <f t="shared" si="155"/>
        <v>74.988002580687152</v>
      </c>
      <c r="P82" s="4">
        <f t="shared" si="156"/>
        <v>0.52058411189219544</v>
      </c>
      <c r="Q82" s="4">
        <f t="shared" si="157"/>
        <v>0.62482168954024864</v>
      </c>
      <c r="R82" s="4">
        <f t="shared" si="158"/>
        <v>7.0366141581835269E-4</v>
      </c>
      <c r="S82" s="4">
        <f t="shared" si="142"/>
        <v>0.61608576198424669</v>
      </c>
      <c r="T82" s="2">
        <f t="shared" si="143"/>
        <v>1004.3435484280518</v>
      </c>
      <c r="U82" s="6">
        <f t="shared" si="159"/>
        <v>0.54469230141332714</v>
      </c>
      <c r="V82" s="4">
        <f t="shared" si="160"/>
        <v>1.0463098833990618</v>
      </c>
      <c r="W82" s="4">
        <f t="shared" si="161"/>
        <v>1.0008094883125795</v>
      </c>
      <c r="X82" s="3">
        <f t="shared" si="162"/>
        <v>30.680671090209106</v>
      </c>
      <c r="Y82" s="8">
        <f t="shared" si="163"/>
        <v>7.9469472785110691</v>
      </c>
      <c r="Z82" s="3">
        <f t="shared" si="164"/>
        <v>29.633589176779758</v>
      </c>
      <c r="AA82" s="3">
        <f t="shared" si="165"/>
        <v>27243.143244565454</v>
      </c>
      <c r="AB82" s="3"/>
      <c r="AC82" s="3"/>
      <c r="AD82" s="15"/>
    </row>
    <row r="83" spans="1:30" hidden="1">
      <c r="A83" s="7">
        <f t="shared" si="146"/>
        <v>490</v>
      </c>
      <c r="B83" s="3">
        <f t="shared" si="147"/>
        <v>614.65329399999996</v>
      </c>
      <c r="D83" s="1">
        <f t="shared" si="148"/>
        <v>81</v>
      </c>
      <c r="E83" s="2">
        <v>10</v>
      </c>
      <c r="F83" s="20">
        <v>10</v>
      </c>
      <c r="G83" s="2">
        <f t="shared" si="149"/>
        <v>7.0710678118654746</v>
      </c>
      <c r="H83" s="20">
        <f t="shared" si="141"/>
        <v>-253</v>
      </c>
      <c r="I83" s="2">
        <f t="shared" si="150"/>
        <v>230</v>
      </c>
      <c r="J83" s="20">
        <f t="shared" si="151"/>
        <v>-867.65329399999996</v>
      </c>
      <c r="K83" s="2">
        <f t="shared" si="152"/>
        <v>230</v>
      </c>
      <c r="L83" s="2">
        <f t="shared" si="153"/>
        <v>897.62031983965824</v>
      </c>
      <c r="M83" s="2">
        <f t="shared" si="154"/>
        <v>3.7724056260869565</v>
      </c>
      <c r="N83" s="2">
        <f t="shared" si="155"/>
        <v>75.153338051625909</v>
      </c>
      <c r="P83" s="4">
        <f t="shared" si="156"/>
        <v>0.52022686464056123</v>
      </c>
      <c r="Q83" s="4">
        <f t="shared" si="157"/>
        <v>0.62399396838328436</v>
      </c>
      <c r="R83" s="4">
        <f t="shared" si="158"/>
        <v>6.9516470894369711E-4</v>
      </c>
      <c r="S83" s="4">
        <f t="shared" si="142"/>
        <v>0.61608576198424669</v>
      </c>
      <c r="T83" s="2">
        <f t="shared" si="143"/>
        <v>1004.3435484280518</v>
      </c>
      <c r="U83" s="6">
        <f t="shared" si="159"/>
        <v>0.55061945644645638</v>
      </c>
      <c r="V83" s="4">
        <f t="shared" si="160"/>
        <v>1.0584218037776543</v>
      </c>
      <c r="W83" s="4">
        <f t="shared" si="161"/>
        <v>1.0008303105659606</v>
      </c>
      <c r="X83" s="3">
        <f t="shared" si="162"/>
        <v>30.692712770096815</v>
      </c>
      <c r="Y83" s="8">
        <f t="shared" si="163"/>
        <v>7.8644876693335952</v>
      </c>
      <c r="Z83" s="3">
        <f t="shared" si="164"/>
        <v>29.668037530085535</v>
      </c>
      <c r="AA83" s="3">
        <f t="shared" si="165"/>
        <v>27550.402653441066</v>
      </c>
      <c r="AB83" s="3"/>
      <c r="AC83" s="3"/>
      <c r="AD83" s="15"/>
    </row>
    <row r="84" spans="1:30" hidden="1">
      <c r="A84" s="7">
        <f t="shared" si="146"/>
        <v>490</v>
      </c>
      <c r="B84" s="3">
        <f t="shared" si="147"/>
        <v>614.65329399999996</v>
      </c>
      <c r="D84" s="1">
        <f t="shared" si="148"/>
        <v>82</v>
      </c>
      <c r="E84" s="2">
        <v>10</v>
      </c>
      <c r="F84" s="20">
        <v>10</v>
      </c>
      <c r="G84" s="2">
        <f t="shared" si="149"/>
        <v>7.0710678118654746</v>
      </c>
      <c r="H84" s="20">
        <f t="shared" si="141"/>
        <v>-263</v>
      </c>
      <c r="I84" s="2">
        <f t="shared" si="150"/>
        <v>230</v>
      </c>
      <c r="J84" s="20">
        <f t="shared" si="151"/>
        <v>-877.65329399999996</v>
      </c>
      <c r="K84" s="2">
        <f t="shared" si="152"/>
        <v>230</v>
      </c>
      <c r="L84" s="2">
        <f t="shared" si="153"/>
        <v>907.29008837805031</v>
      </c>
      <c r="M84" s="2">
        <f t="shared" si="154"/>
        <v>3.8158838869565215</v>
      </c>
      <c r="N84" s="2">
        <f t="shared" si="155"/>
        <v>75.315150602346563</v>
      </c>
      <c r="P84" s="4">
        <f t="shared" si="156"/>
        <v>0.51987820663513817</v>
      </c>
      <c r="Q84" s="4">
        <f t="shared" si="157"/>
        <v>0.62318657380347409</v>
      </c>
      <c r="R84" s="4">
        <f t="shared" si="158"/>
        <v>6.8686584564980305E-4</v>
      </c>
      <c r="S84" s="4">
        <f t="shared" si="142"/>
        <v>0.61608576198424669</v>
      </c>
      <c r="T84" s="2">
        <f t="shared" si="143"/>
        <v>1004.3435484280518</v>
      </c>
      <c r="U84" s="6">
        <f t="shared" si="159"/>
        <v>0.55655109878887077</v>
      </c>
      <c r="V84" s="4">
        <f t="shared" si="160"/>
        <v>1.0705413146496261</v>
      </c>
      <c r="W84" s="4">
        <f t="shared" si="161"/>
        <v>1.0007720030711271</v>
      </c>
      <c r="X84" s="3">
        <f t="shared" si="162"/>
        <v>30.701969007258324</v>
      </c>
      <c r="Y84" s="8">
        <f t="shared" si="163"/>
        <v>7.783015556020314</v>
      </c>
      <c r="Z84" s="3">
        <f t="shared" si="164"/>
        <v>29.699083652149884</v>
      </c>
      <c r="AA84" s="3">
        <f t="shared" si="165"/>
        <v>27855.592173975565</v>
      </c>
      <c r="AB84" s="3"/>
      <c r="AC84" s="3"/>
      <c r="AD84" s="15"/>
    </row>
    <row r="85" spans="1:30" hidden="1">
      <c r="A85" s="7">
        <f t="shared" si="146"/>
        <v>490</v>
      </c>
      <c r="B85" s="3">
        <f t="shared" si="147"/>
        <v>614.65329399999996</v>
      </c>
      <c r="D85" s="1">
        <f t="shared" si="148"/>
        <v>83</v>
      </c>
      <c r="E85" s="2">
        <v>10</v>
      </c>
      <c r="F85" s="20">
        <v>10</v>
      </c>
      <c r="G85" s="2">
        <f t="shared" si="149"/>
        <v>7.0710678118654746</v>
      </c>
      <c r="H85" s="20">
        <f t="shared" si="141"/>
        <v>-273</v>
      </c>
      <c r="I85" s="2">
        <f t="shared" si="150"/>
        <v>230</v>
      </c>
      <c r="J85" s="20">
        <f t="shared" si="151"/>
        <v>-887.65329399999996</v>
      </c>
      <c r="K85" s="2">
        <f t="shared" si="152"/>
        <v>230</v>
      </c>
      <c r="L85" s="2">
        <f t="shared" si="153"/>
        <v>916.96694070672493</v>
      </c>
      <c r="M85" s="2">
        <f t="shared" si="154"/>
        <v>3.8593621478260869</v>
      </c>
      <c r="N85" s="2">
        <f t="shared" si="155"/>
        <v>75.473549143256449</v>
      </c>
      <c r="P85" s="4">
        <f t="shared" si="156"/>
        <v>0.51953783649393626</v>
      </c>
      <c r="Q85" s="4">
        <f t="shared" si="157"/>
        <v>0.62239877766014984</v>
      </c>
      <c r="R85" s="4">
        <f t="shared" si="158"/>
        <v>6.7875814277497783E-4</v>
      </c>
      <c r="S85" s="4">
        <f t="shared" si="142"/>
        <v>0.61608576198424669</v>
      </c>
      <c r="T85" s="2">
        <f t="shared" si="143"/>
        <v>1004.3435484280518</v>
      </c>
      <c r="U85" s="6">
        <f t="shared" si="159"/>
        <v>0.56248708647938928</v>
      </c>
      <c r="V85" s="4">
        <f t="shared" si="160"/>
        <v>1.082668185007069</v>
      </c>
      <c r="W85" s="4">
        <f t="shared" si="161"/>
        <v>1.0006343881154902</v>
      </c>
      <c r="X85" s="3">
        <f t="shared" si="162"/>
        <v>30.708446347370142</v>
      </c>
      <c r="Y85" s="8">
        <f t="shared" si="163"/>
        <v>7.7025052336691449</v>
      </c>
      <c r="Z85" s="3">
        <f t="shared" si="164"/>
        <v>29.726757142255021</v>
      </c>
      <c r="AA85" s="3">
        <f t="shared" si="165"/>
        <v>28158.630101004601</v>
      </c>
      <c r="AB85" s="3"/>
      <c r="AC85" s="3"/>
      <c r="AD85" s="15"/>
    </row>
    <row r="86" spans="1:30" hidden="1">
      <c r="A86" s="7">
        <f t="shared" si="146"/>
        <v>490</v>
      </c>
      <c r="B86" s="3">
        <f t="shared" si="147"/>
        <v>614.65329399999996</v>
      </c>
      <c r="D86" s="1">
        <f t="shared" si="148"/>
        <v>84</v>
      </c>
      <c r="E86" s="2">
        <v>10</v>
      </c>
      <c r="F86" s="20">
        <v>10</v>
      </c>
      <c r="G86" s="2">
        <f t="shared" si="149"/>
        <v>7.0710678118654746</v>
      </c>
      <c r="H86" s="20">
        <f t="shared" si="141"/>
        <v>-283</v>
      </c>
      <c r="I86" s="2">
        <f t="shared" si="150"/>
        <v>230</v>
      </c>
      <c r="J86" s="20">
        <f t="shared" si="151"/>
        <v>-897.65329399999996</v>
      </c>
      <c r="K86" s="2">
        <f t="shared" si="152"/>
        <v>230</v>
      </c>
      <c r="L86" s="2">
        <f t="shared" si="153"/>
        <v>926.65065490132281</v>
      </c>
      <c r="M86" s="2">
        <f t="shared" si="154"/>
        <v>3.9028404086956519</v>
      </c>
      <c r="N86" s="2">
        <f t="shared" si="155"/>
        <v>75.628638245984959</v>
      </c>
      <c r="P86" s="4">
        <f t="shared" si="156"/>
        <v>0.51920546657912237</v>
      </c>
      <c r="Q86" s="4">
        <f t="shared" si="157"/>
        <v>0.62162988570477518</v>
      </c>
      <c r="R86" s="4">
        <f t="shared" si="158"/>
        <v>6.7083520895042299E-4</v>
      </c>
      <c r="S86" s="4">
        <f t="shared" si="142"/>
        <v>0.61608576198424669</v>
      </c>
      <c r="T86" s="2">
        <f t="shared" si="143"/>
        <v>1004.3435484280518</v>
      </c>
      <c r="U86" s="6">
        <f t="shared" si="159"/>
        <v>0.56842728338487458</v>
      </c>
      <c r="V86" s="4">
        <f t="shared" si="160"/>
        <v>1.0948021929161473</v>
      </c>
      <c r="W86" s="4">
        <f t="shared" si="161"/>
        <v>1.0004172495753456</v>
      </c>
      <c r="X86" s="3">
        <f t="shared" si="162"/>
        <v>30.712149590815528</v>
      </c>
      <c r="Y86" s="8">
        <f t="shared" si="163"/>
        <v>7.6229314343276213</v>
      </c>
      <c r="Z86" s="3">
        <f t="shared" si="164"/>
        <v>29.751084834610154</v>
      </c>
      <c r="AA86" s="3">
        <f t="shared" si="165"/>
        <v>28459.433531756604</v>
      </c>
      <c r="AB86" s="3"/>
      <c r="AC86" s="3"/>
      <c r="AD86" s="15"/>
    </row>
    <row r="87" spans="1:30" hidden="1">
      <c r="A87" s="7">
        <f t="shared" si="146"/>
        <v>490</v>
      </c>
      <c r="B87" s="3">
        <f t="shared" si="147"/>
        <v>614.65329399999996</v>
      </c>
      <c r="D87" s="1">
        <f t="shared" si="148"/>
        <v>85</v>
      </c>
      <c r="E87" s="2">
        <v>10</v>
      </c>
      <c r="F87" s="20">
        <v>10</v>
      </c>
      <c r="G87" s="2">
        <f t="shared" si="149"/>
        <v>7.0710678118654746</v>
      </c>
      <c r="H87" s="20">
        <f t="shared" si="141"/>
        <v>-293</v>
      </c>
      <c r="I87" s="2">
        <f t="shared" si="150"/>
        <v>230</v>
      </c>
      <c r="J87" s="20">
        <f t="shared" si="151"/>
        <v>-907.65329399999996</v>
      </c>
      <c r="K87" s="2">
        <f t="shared" si="152"/>
        <v>230</v>
      </c>
      <c r="L87" s="2">
        <f t="shared" si="153"/>
        <v>936.34101806395859</v>
      </c>
      <c r="M87" s="2">
        <f t="shared" si="154"/>
        <v>3.9463186695652173</v>
      </c>
      <c r="N87" s="2">
        <f t="shared" si="155"/>
        <v>75.78051835185471</v>
      </c>
      <c r="P87" s="4">
        <f t="shared" si="156"/>
        <v>0.51888082223212861</v>
      </c>
      <c r="Q87" s="4">
        <f t="shared" si="157"/>
        <v>0.62087923565593595</v>
      </c>
      <c r="R87" s="4">
        <f t="shared" si="158"/>
        <v>6.6309092913574097E-4</v>
      </c>
      <c r="S87" s="4">
        <f t="shared" si="142"/>
        <v>0.61608576198424669</v>
      </c>
      <c r="T87" s="2">
        <f t="shared" si="143"/>
        <v>1004.3435484280518</v>
      </c>
      <c r="U87" s="6">
        <f t="shared" si="159"/>
        <v>0.57437155890922142</v>
      </c>
      <c r="V87" s="4">
        <f t="shared" si="160"/>
        <v>1.1069431250867627</v>
      </c>
      <c r="W87" s="4">
        <f t="shared" si="161"/>
        <v>1.0001203322176524</v>
      </c>
      <c r="X87" s="3">
        <f t="shared" si="162"/>
        <v>30.713081800315059</v>
      </c>
      <c r="Y87" s="8">
        <f t="shared" si="163"/>
        <v>7.5442693183285714</v>
      </c>
      <c r="Z87" s="3">
        <f t="shared" si="164"/>
        <v>29.772090859148108</v>
      </c>
      <c r="AA87" s="3">
        <f t="shared" si="165"/>
        <v>28757.918280788639</v>
      </c>
      <c r="AB87" s="3"/>
      <c r="AC87" s="3"/>
      <c r="AD87" s="15"/>
    </row>
    <row r="88" spans="1:30" hidden="1">
      <c r="A88" s="7">
        <f t="shared" si="146"/>
        <v>490</v>
      </c>
      <c r="B88" s="3">
        <f t="shared" si="147"/>
        <v>614.65329399999996</v>
      </c>
      <c r="D88" s="1">
        <f t="shared" si="148"/>
        <v>86</v>
      </c>
      <c r="E88" s="2">
        <v>10</v>
      </c>
      <c r="F88" s="20">
        <v>10</v>
      </c>
      <c r="G88" s="2">
        <f t="shared" si="149"/>
        <v>7.0710678118654746</v>
      </c>
      <c r="H88" s="20">
        <f t="shared" si="141"/>
        <v>-303</v>
      </c>
      <c r="I88" s="2">
        <f t="shared" si="150"/>
        <v>230</v>
      </c>
      <c r="J88" s="20">
        <f t="shared" si="151"/>
        <v>-917.65329399999996</v>
      </c>
      <c r="K88" s="2">
        <f t="shared" si="152"/>
        <v>230</v>
      </c>
      <c r="L88" s="2">
        <f t="shared" si="153"/>
        <v>946.03782587645537</v>
      </c>
      <c r="M88" s="2">
        <f t="shared" si="154"/>
        <v>3.9897969304347822</v>
      </c>
      <c r="N88" s="2">
        <f t="shared" si="155"/>
        <v>75.92928596878798</v>
      </c>
      <c r="P88" s="4">
        <f t="shared" si="156"/>
        <v>0.51856364105869135</v>
      </c>
      <c r="Q88" s="4">
        <f t="shared" si="157"/>
        <v>0.62014619540260174</v>
      </c>
      <c r="R88" s="4">
        <f t="shared" si="158"/>
        <v>6.5551945011085389E-4</v>
      </c>
      <c r="S88" s="4">
        <f t="shared" si="142"/>
        <v>0.61608576198424669</v>
      </c>
      <c r="T88" s="2">
        <f t="shared" si="143"/>
        <v>1004.3435484280518</v>
      </c>
      <c r="U88" s="6">
        <f t="shared" si="159"/>
        <v>0.58031978771930048</v>
      </c>
      <c r="V88" s="4">
        <f t="shared" si="160"/>
        <v>1.1190907764657945</v>
      </c>
      <c r="W88" s="4">
        <f t="shared" si="161"/>
        <v>0.99974334092929096</v>
      </c>
      <c r="X88" s="3">
        <f t="shared" si="162"/>
        <v>30.711244304548593</v>
      </c>
      <c r="Y88" s="8">
        <f t="shared" si="163"/>
        <v>7.4664944644281261</v>
      </c>
      <c r="Z88" s="3">
        <f t="shared" si="164"/>
        <v>29.789796695283648</v>
      </c>
      <c r="AA88" s="3">
        <f t="shared" si="165"/>
        <v>29053.998791835824</v>
      </c>
      <c r="AB88" s="3"/>
      <c r="AC88" s="3"/>
      <c r="AD88" s="15"/>
    </row>
    <row r="89" spans="1:30" hidden="1">
      <c r="A89" s="7">
        <f t="shared" si="146"/>
        <v>490</v>
      </c>
      <c r="B89" s="3">
        <f t="shared" si="147"/>
        <v>614.65329399999996</v>
      </c>
      <c r="D89" s="1">
        <f t="shared" si="148"/>
        <v>87</v>
      </c>
      <c r="E89" s="2">
        <v>10</v>
      </c>
      <c r="F89" s="20">
        <v>10</v>
      </c>
      <c r="G89" s="2">
        <f t="shared" si="149"/>
        <v>7.0710678118654746</v>
      </c>
      <c r="H89" s="20">
        <f t="shared" si="141"/>
        <v>-313</v>
      </c>
      <c r="I89" s="2">
        <f t="shared" si="150"/>
        <v>230</v>
      </c>
      <c r="J89" s="20">
        <f t="shared" si="151"/>
        <v>-927.65329399999996</v>
      </c>
      <c r="K89" s="2">
        <f t="shared" si="152"/>
        <v>230</v>
      </c>
      <c r="L89" s="2">
        <f t="shared" si="153"/>
        <v>955.74088217939607</v>
      </c>
      <c r="M89" s="2">
        <f t="shared" si="154"/>
        <v>4.0332751913043481</v>
      </c>
      <c r="N89" s="2">
        <f t="shared" si="155"/>
        <v>76.075033857365284</v>
      </c>
      <c r="P89" s="4">
        <f t="shared" si="156"/>
        <v>0.51825367226010699</v>
      </c>
      <c r="Q89" s="4">
        <f t="shared" si="157"/>
        <v>0.61943016132589024</v>
      </c>
      <c r="R89" s="4">
        <f t="shared" si="158"/>
        <v>6.4811516685714084E-4</v>
      </c>
      <c r="S89" s="4">
        <f t="shared" si="142"/>
        <v>0.61608576198424669</v>
      </c>
      <c r="T89" s="2">
        <f t="shared" si="143"/>
        <v>1004.3435484280518</v>
      </c>
      <c r="U89" s="6">
        <f t="shared" si="159"/>
        <v>0.58627184948674016</v>
      </c>
      <c r="V89" s="4">
        <f t="shared" si="160"/>
        <v>1.1312449498524642</v>
      </c>
      <c r="W89" s="4">
        <f t="shared" si="161"/>
        <v>0.99928593986948699</v>
      </c>
      <c r="X89" s="3">
        <f t="shared" si="162"/>
        <v>30.706636697749168</v>
      </c>
      <c r="Y89" s="8">
        <f t="shared" si="163"/>
        <v>7.3895828588785255</v>
      </c>
      <c r="Z89" s="3">
        <f t="shared" si="164"/>
        <v>29.804221218802624</v>
      </c>
      <c r="AA89" s="3">
        <f t="shared" si="165"/>
        <v>29347.588046269007</v>
      </c>
      <c r="AB89" s="3"/>
      <c r="AC89" s="3"/>
      <c r="AD89" s="15"/>
    </row>
    <row r="90" spans="1:30" hidden="1">
      <c r="A90" s="7">
        <f t="shared" si="146"/>
        <v>490</v>
      </c>
      <c r="B90" s="3">
        <f t="shared" si="147"/>
        <v>614.65329399999996</v>
      </c>
      <c r="D90" s="1">
        <f t="shared" si="148"/>
        <v>88</v>
      </c>
      <c r="E90" s="2">
        <v>10</v>
      </c>
      <c r="F90" s="20">
        <v>10</v>
      </c>
      <c r="G90" s="2">
        <f t="shared" si="149"/>
        <v>7.0710678118654746</v>
      </c>
      <c r="H90" s="20">
        <f t="shared" si="141"/>
        <v>-323</v>
      </c>
      <c r="I90" s="2">
        <f t="shared" si="150"/>
        <v>230</v>
      </c>
      <c r="J90" s="20">
        <f t="shared" si="151"/>
        <v>-937.65329399999996</v>
      </c>
      <c r="K90" s="2">
        <f t="shared" si="152"/>
        <v>230</v>
      </c>
      <c r="L90" s="2">
        <f t="shared" si="153"/>
        <v>965.44999857530183</v>
      </c>
      <c r="M90" s="2">
        <f t="shared" si="154"/>
        <v>4.0767534521739126</v>
      </c>
      <c r="N90" s="2">
        <f t="shared" si="155"/>
        <v>76.217851206704395</v>
      </c>
      <c r="P90" s="4">
        <f t="shared" si="156"/>
        <v>0.51795067600728706</v>
      </c>
      <c r="Q90" s="4">
        <f t="shared" si="157"/>
        <v>0.618730556730412</v>
      </c>
      <c r="R90" s="4">
        <f t="shared" si="158"/>
        <v>6.4087270976587304E-4</v>
      </c>
      <c r="S90" s="4">
        <f t="shared" si="142"/>
        <v>0.61608576198424669</v>
      </c>
      <c r="T90" s="2">
        <f t="shared" si="143"/>
        <v>1004.3435484280518</v>
      </c>
      <c r="U90" s="6">
        <f t="shared" si="159"/>
        <v>0.59222762864450706</v>
      </c>
      <c r="V90" s="4">
        <f t="shared" si="160"/>
        <v>1.1434054555344861</v>
      </c>
      <c r="W90" s="4">
        <f t="shared" si="161"/>
        <v>0.99874775154075923</v>
      </c>
      <c r="X90" s="3">
        <f t="shared" si="162"/>
        <v>30.699256835231335</v>
      </c>
      <c r="Y90" s="8">
        <f t="shared" si="163"/>
        <v>7.3135108835493821</v>
      </c>
      <c r="Z90" s="3">
        <f t="shared" si="164"/>
        <v>29.815380742021436</v>
      </c>
      <c r="AA90" s="3">
        <f t="shared" si="165"/>
        <v>29638.597467836917</v>
      </c>
      <c r="AB90" s="3"/>
      <c r="AC90" s="3"/>
      <c r="AD90" s="15"/>
    </row>
    <row r="91" spans="1:30" hidden="1">
      <c r="A91" s="7">
        <f t="shared" si="146"/>
        <v>490</v>
      </c>
      <c r="B91" s="3">
        <f t="shared" si="147"/>
        <v>614.65329399999996</v>
      </c>
      <c r="D91" s="1">
        <f t="shared" si="148"/>
        <v>89</v>
      </c>
      <c r="E91" s="2">
        <v>10</v>
      </c>
      <c r="F91" s="20">
        <v>10</v>
      </c>
      <c r="G91" s="2">
        <f t="shared" si="149"/>
        <v>7.0710678118654746</v>
      </c>
      <c r="H91" s="20">
        <f t="shared" si="141"/>
        <v>-333</v>
      </c>
      <c r="I91" s="2">
        <f t="shared" si="150"/>
        <v>230</v>
      </c>
      <c r="J91" s="20">
        <f t="shared" si="151"/>
        <v>-947.65329399999996</v>
      </c>
      <c r="K91" s="2">
        <f t="shared" si="152"/>
        <v>230</v>
      </c>
      <c r="L91" s="2">
        <f t="shared" si="153"/>
        <v>975.16499405436525</v>
      </c>
      <c r="M91" s="2">
        <f t="shared" si="154"/>
        <v>4.120231713043478</v>
      </c>
      <c r="N91" s="2">
        <f t="shared" si="155"/>
        <v>76.357823800783606</v>
      </c>
      <c r="P91" s="4">
        <f t="shared" si="156"/>
        <v>0.51765442285448682</v>
      </c>
      <c r="Q91" s="4">
        <f t="shared" si="157"/>
        <v>0.61804683037701658</v>
      </c>
      <c r="R91" s="4">
        <f t="shared" si="158"/>
        <v>6.3378693261682091E-4</v>
      </c>
      <c r="S91" s="4">
        <f t="shared" si="142"/>
        <v>0.61608576198424669</v>
      </c>
      <c r="T91" s="2">
        <f t="shared" si="143"/>
        <v>1004.3435484280518</v>
      </c>
      <c r="U91" s="6">
        <f t="shared" si="159"/>
        <v>0.598187014157323</v>
      </c>
      <c r="V91" s="4">
        <f t="shared" si="160"/>
        <v>1.1555721109437405</v>
      </c>
      <c r="W91" s="4">
        <f t="shared" si="161"/>
        <v>0.99812835577335912</v>
      </c>
      <c r="X91" s="3">
        <f t="shared" si="162"/>
        <v>30.689100824796906</v>
      </c>
      <c r="Y91" s="8">
        <f t="shared" si="163"/>
        <v>7.2382553031941415</v>
      </c>
      <c r="Z91" s="3">
        <f t="shared" si="164"/>
        <v>29.823289047325616</v>
      </c>
      <c r="AA91" s="3">
        <f t="shared" si="165"/>
        <v>29926.936823346892</v>
      </c>
      <c r="AB91" s="3"/>
      <c r="AC91" s="3"/>
      <c r="AD91" s="15"/>
    </row>
    <row r="92" spans="1:30" hidden="1">
      <c r="A92" s="7">
        <f t="shared" si="146"/>
        <v>490</v>
      </c>
      <c r="B92" s="3">
        <f t="shared" si="147"/>
        <v>614.65329399999996</v>
      </c>
      <c r="D92" s="1">
        <f t="shared" si="148"/>
        <v>90</v>
      </c>
      <c r="E92" s="2">
        <v>10</v>
      </c>
      <c r="F92" s="20">
        <v>10</v>
      </c>
      <c r="G92" s="2">
        <f t="shared" si="149"/>
        <v>7.0710678118654746</v>
      </c>
      <c r="H92" s="20">
        <f t="shared" si="141"/>
        <v>-343</v>
      </c>
      <c r="I92" s="2">
        <f t="shared" si="150"/>
        <v>230</v>
      </c>
      <c r="J92" s="20">
        <f t="shared" si="151"/>
        <v>-957.65329399999996</v>
      </c>
      <c r="K92" s="2">
        <f t="shared" si="152"/>
        <v>230</v>
      </c>
      <c r="L92" s="2">
        <f t="shared" si="153"/>
        <v>984.88569464128693</v>
      </c>
      <c r="M92" s="2">
        <f t="shared" si="154"/>
        <v>4.1637099739130434</v>
      </c>
      <c r="N92" s="2">
        <f t="shared" si="155"/>
        <v>76.495034175791289</v>
      </c>
      <c r="P92" s="4">
        <f t="shared" si="156"/>
        <v>0.51736469318983225</v>
      </c>
      <c r="Q92" s="4">
        <f t="shared" si="157"/>
        <v>0.61737845510945277</v>
      </c>
      <c r="R92" s="4">
        <f t="shared" si="158"/>
        <v>6.2685290127430791E-4</v>
      </c>
      <c r="S92" s="4">
        <f t="shared" si="142"/>
        <v>0.61608576198424669</v>
      </c>
      <c r="T92" s="2">
        <f t="shared" si="143"/>
        <v>1004.3435484280518</v>
      </c>
      <c r="U92" s="6">
        <f t="shared" si="159"/>
        <v>0.60414989930502738</v>
      </c>
      <c r="V92" s="4">
        <f t="shared" si="160"/>
        <v>1.1677447403303027</v>
      </c>
      <c r="W92" s="4">
        <f t="shared" si="161"/>
        <v>0.99742728861775432</v>
      </c>
      <c r="X92" s="3">
        <f t="shared" si="162"/>
        <v>30.676163013941359</v>
      </c>
      <c r="Y92" s="8">
        <f t="shared" si="163"/>
        <v>7.1637932519430683</v>
      </c>
      <c r="Z92" s="3">
        <f t="shared" si="164"/>
        <v>29.827957414166306</v>
      </c>
      <c r="AA92" s="3">
        <f t="shared" si="165"/>
        <v>30212.514118914991</v>
      </c>
      <c r="AB92" s="3"/>
      <c r="AC92" s="3"/>
      <c r="AD92" s="15"/>
    </row>
    <row r="93" spans="1:30">
      <c r="A93" s="7">
        <f t="shared" si="146"/>
        <v>490</v>
      </c>
      <c r="B93" s="3">
        <f t="shared" si="147"/>
        <v>614.65329399999996</v>
      </c>
      <c r="D93" s="1">
        <f t="shared" si="148"/>
        <v>91</v>
      </c>
      <c r="E93" s="2">
        <v>10</v>
      </c>
      <c r="F93" s="20">
        <v>10</v>
      </c>
      <c r="G93" s="2">
        <f t="shared" si="149"/>
        <v>7.0710678118654746</v>
      </c>
      <c r="H93" s="20">
        <f t="shared" si="141"/>
        <v>-353</v>
      </c>
      <c r="I93" s="2">
        <f t="shared" si="150"/>
        <v>230</v>
      </c>
      <c r="J93" s="20">
        <f t="shared" si="151"/>
        <v>-967.65329399999996</v>
      </c>
      <c r="K93" s="2">
        <f t="shared" si="152"/>
        <v>230</v>
      </c>
      <c r="L93" s="2">
        <f t="shared" si="153"/>
        <v>994.61193306186021</v>
      </c>
      <c r="M93" s="2">
        <f t="shared" si="154"/>
        <v>4.2071882347826088</v>
      </c>
      <c r="N93" s="2">
        <f t="shared" si="155"/>
        <v>76.629561769045054</v>
      </c>
      <c r="P93" s="4">
        <f t="shared" si="156"/>
        <v>0.51708127672000526</v>
      </c>
      <c r="Q93" s="4">
        <f t="shared" si="157"/>
        <v>0.61672492656806932</v>
      </c>
      <c r="R93" s="4">
        <f t="shared" si="158"/>
        <v>6.2006588305201036E-4</v>
      </c>
      <c r="S93" s="4">
        <f t="shared" si="142"/>
        <v>0.61608576198424669</v>
      </c>
      <c r="T93" s="2">
        <f t="shared" si="143"/>
        <v>1004.3435484280518</v>
      </c>
      <c r="U93" s="6">
        <f t="shared" si="159"/>
        <v>0.61011618147805269</v>
      </c>
      <c r="V93" s="4">
        <f t="shared" si="160"/>
        <v>1.1799231744537233</v>
      </c>
      <c r="W93" s="4">
        <f t="shared" si="161"/>
        <v>0.99664404113922944</v>
      </c>
      <c r="X93" s="3">
        <f t="shared" si="162"/>
        <v>30.660435972762809</v>
      </c>
      <c r="Y93" s="8">
        <f t="shared" si="163"/>
        <v>7.0901022190901584</v>
      </c>
      <c r="Z93" s="3">
        <f t="shared" si="164"/>
        <v>29.829394639562171</v>
      </c>
      <c r="AA93" s="3">
        <f t="shared" si="165"/>
        <v>30495.235491389012</v>
      </c>
      <c r="AB93" s="3"/>
      <c r="AC93" s="3"/>
      <c r="AD93" s="15"/>
    </row>
    <row r="94" spans="1:30">
      <c r="A94" s="7">
        <f t="shared" si="146"/>
        <v>490</v>
      </c>
      <c r="B94" s="3">
        <f t="shared" si="147"/>
        <v>614.65329399999996</v>
      </c>
      <c r="D94" s="1">
        <f t="shared" si="148"/>
        <v>92</v>
      </c>
      <c r="E94" s="2">
        <v>10</v>
      </c>
      <c r="F94" s="20">
        <v>10</v>
      </c>
      <c r="G94" s="2">
        <f t="shared" si="149"/>
        <v>7.0710678118654746</v>
      </c>
      <c r="H94" s="20">
        <f t="shared" si="141"/>
        <v>-363</v>
      </c>
      <c r="I94" s="2">
        <f t="shared" si="150"/>
        <v>230</v>
      </c>
      <c r="J94" s="20">
        <f t="shared" si="151"/>
        <v>-977.65329399999996</v>
      </c>
      <c r="K94" s="2">
        <f t="shared" si="152"/>
        <v>230</v>
      </c>
      <c r="L94" s="2">
        <f t="shared" si="153"/>
        <v>1004.3435484280518</v>
      </c>
      <c r="M94" s="2">
        <f t="shared" si="154"/>
        <v>4.2506664956521734</v>
      </c>
      <c r="N94" s="2">
        <f t="shared" si="155"/>
        <v>76.761483059987995</v>
      </c>
      <c r="P94" s="4">
        <f t="shared" si="156"/>
        <v>0.5168039719866615</v>
      </c>
      <c r="Q94" s="4">
        <f t="shared" si="157"/>
        <v>0.61608576198424669</v>
      </c>
      <c r="R94" s="4">
        <f t="shared" si="158"/>
        <v>6.1342133670148349E-4</v>
      </c>
      <c r="S94" s="4">
        <f t="shared" si="142"/>
        <v>0.61608576198424669</v>
      </c>
      <c r="T94" s="2">
        <f t="shared" si="143"/>
        <v>1004.3435484280518</v>
      </c>
      <c r="U94" s="6">
        <f t="shared" si="159"/>
        <v>0.61608576198424669</v>
      </c>
      <c r="V94" s="4">
        <f t="shared" si="160"/>
        <v>1.1921072502905368</v>
      </c>
      <c r="W94" s="4">
        <f t="shared" si="161"/>
        <v>0.99577805810815667</v>
      </c>
      <c r="X94" s="3">
        <f t="shared" si="162"/>
        <v>30.641910472453578</v>
      </c>
      <c r="Y94" s="8">
        <f t="shared" si="163"/>
        <v>7.017160034228267</v>
      </c>
      <c r="Z94" s="3">
        <f t="shared" si="164"/>
        <v>29.82760705212354</v>
      </c>
      <c r="AA94" s="3">
        <f t="shared" si="165"/>
        <v>30775.005094518707</v>
      </c>
      <c r="AB94" s="3"/>
      <c r="AC94" s="3"/>
      <c r="AD94" s="15"/>
    </row>
    <row r="95" spans="1:30">
      <c r="A95" s="7"/>
      <c r="B95" s="3"/>
      <c r="D95" s="1"/>
      <c r="E95" s="2"/>
      <c r="F95" s="20"/>
      <c r="G95" s="2"/>
      <c r="H95" s="20"/>
      <c r="I95" s="2"/>
      <c r="J95" s="20"/>
      <c r="K95" s="2"/>
      <c r="L95" s="2"/>
      <c r="M95" s="2"/>
      <c r="N95" s="2"/>
      <c r="P95" s="4"/>
      <c r="Q95" s="4"/>
      <c r="R95" s="4"/>
      <c r="S95" s="4"/>
      <c r="T95" s="2"/>
      <c r="U95" s="6"/>
      <c r="V95" s="4"/>
      <c r="W95" s="4"/>
      <c r="X95" s="3"/>
      <c r="Y95" s="8"/>
      <c r="Z95" s="3"/>
      <c r="AA95" s="3"/>
      <c r="AB95" s="3"/>
      <c r="AC95" s="3"/>
      <c r="AD95" s="15"/>
    </row>
    <row r="96" spans="1:30" ht="22.5" customHeight="1">
      <c r="A96" s="11" t="s">
        <v>28</v>
      </c>
      <c r="B96" s="11" t="s">
        <v>37</v>
      </c>
      <c r="C96" s="12"/>
      <c r="D96" s="13" t="s">
        <v>1</v>
      </c>
      <c r="E96" s="11" t="s">
        <v>21</v>
      </c>
      <c r="F96" s="13" t="s">
        <v>2</v>
      </c>
      <c r="G96" s="13" t="s">
        <v>3</v>
      </c>
      <c r="H96" s="13" t="s">
        <v>38</v>
      </c>
      <c r="I96" s="13" t="s">
        <v>39</v>
      </c>
      <c r="J96" s="11" t="s">
        <v>42</v>
      </c>
      <c r="K96" s="11" t="s">
        <v>43</v>
      </c>
      <c r="L96" s="11" t="s">
        <v>165</v>
      </c>
      <c r="M96" s="13" t="s">
        <v>19</v>
      </c>
      <c r="N96" s="13" t="s">
        <v>20</v>
      </c>
      <c r="O96" s="12"/>
      <c r="P96" s="14" t="s">
        <v>6</v>
      </c>
      <c r="Q96" s="14" t="s">
        <v>7</v>
      </c>
      <c r="R96" s="14" t="s">
        <v>8</v>
      </c>
      <c r="S96" s="14" t="s">
        <v>22</v>
      </c>
      <c r="T96" s="14" t="s">
        <v>23</v>
      </c>
      <c r="U96" s="14" t="s">
        <v>9</v>
      </c>
      <c r="V96" s="14" t="s">
        <v>10</v>
      </c>
      <c r="W96" s="14" t="s">
        <v>12</v>
      </c>
      <c r="X96" s="14" t="s">
        <v>13</v>
      </c>
      <c r="Y96" s="14" t="s">
        <v>14</v>
      </c>
      <c r="Z96" s="14" t="s">
        <v>15</v>
      </c>
      <c r="AA96" s="14" t="s">
        <v>16</v>
      </c>
      <c r="AB96" s="14" t="s">
        <v>36</v>
      </c>
      <c r="AC96" s="3"/>
      <c r="AD96" s="3"/>
    </row>
    <row r="97" spans="1:30" ht="22.5" customHeight="1">
      <c r="A97" s="11" t="s">
        <v>24</v>
      </c>
      <c r="B97" s="11" t="s">
        <v>4</v>
      </c>
      <c r="C97" s="12"/>
      <c r="D97" s="13" t="s">
        <v>0</v>
      </c>
      <c r="E97" s="13" t="s">
        <v>4</v>
      </c>
      <c r="F97" s="13" t="s">
        <v>4</v>
      </c>
      <c r="G97" s="13" t="s">
        <v>4</v>
      </c>
      <c r="H97" s="13" t="s">
        <v>4</v>
      </c>
      <c r="I97" s="13" t="s">
        <v>4</v>
      </c>
      <c r="J97" s="13" t="s">
        <v>4</v>
      </c>
      <c r="K97" s="13" t="s">
        <v>4</v>
      </c>
      <c r="L97" s="13" t="s">
        <v>4</v>
      </c>
      <c r="M97" s="13" t="s">
        <v>45</v>
      </c>
      <c r="N97" s="13" t="s">
        <v>5</v>
      </c>
      <c r="O97" s="12"/>
      <c r="P97" s="13" t="s">
        <v>4</v>
      </c>
      <c r="Q97" s="13" t="s">
        <v>4</v>
      </c>
      <c r="R97" s="13"/>
      <c r="S97" s="13" t="s">
        <v>4</v>
      </c>
      <c r="T97" s="13" t="s">
        <v>4</v>
      </c>
      <c r="U97" s="13" t="s">
        <v>4</v>
      </c>
      <c r="V97" s="14" t="s">
        <v>11</v>
      </c>
      <c r="W97" s="13"/>
      <c r="X97" s="13" t="s">
        <v>18</v>
      </c>
      <c r="Y97" s="13" t="s">
        <v>18</v>
      </c>
      <c r="Z97" s="13" t="s">
        <v>18</v>
      </c>
      <c r="AA97" s="13" t="s">
        <v>17</v>
      </c>
      <c r="AB97" s="14" t="s">
        <v>4</v>
      </c>
      <c r="AC97" s="3"/>
      <c r="AD97" s="3"/>
    </row>
    <row r="98" spans="1:30">
      <c r="A98" s="7">
        <f>A3</f>
        <v>490</v>
      </c>
      <c r="B98" s="3">
        <f>B3</f>
        <v>614.65329399999996</v>
      </c>
      <c r="D98" s="1">
        <f>MAX(D3:D95)+1</f>
        <v>93</v>
      </c>
      <c r="E98" s="2">
        <f>E3</f>
        <v>10</v>
      </c>
      <c r="F98" s="2">
        <f>F3</f>
        <v>10</v>
      </c>
      <c r="G98" s="2">
        <f t="shared" ref="G98:G116" si="166">F98/SQRT(2)</f>
        <v>7.0710678118654746</v>
      </c>
      <c r="H98" s="2">
        <f>-$AB$3</f>
        <v>-368</v>
      </c>
      <c r="I98" s="2">
        <f t="shared" ref="I98:I120" si="167">E98*(MAX($D$98:$D$140)-D98+0.5)</f>
        <v>225</v>
      </c>
      <c r="J98" s="20">
        <f t="shared" ref="J98:J116" si="168">H98-B98</f>
        <v>-982.65329399999996</v>
      </c>
      <c r="K98" s="2">
        <f>I98</f>
        <v>225</v>
      </c>
      <c r="L98" s="2">
        <f t="shared" ref="L98:L116" si="169">SQRT(J98^2+K98^2)</f>
        <v>1008.0835760040188</v>
      </c>
      <c r="M98" s="2">
        <f>IF(J98=0,"infinity",ABS(K98/J98))</f>
        <v>0.22897190837687256</v>
      </c>
      <c r="N98" s="2">
        <f>IF(J98=0,90,ATAN(M98)*180/PI())</f>
        <v>12.8968061847638</v>
      </c>
      <c r="P98" s="4">
        <f>0.209 * (ABS(N98)+2)^-0.32 * F98</f>
        <v>0.88055496977727477</v>
      </c>
      <c r="Q98" s="4">
        <f t="shared" ref="Q98:Q116" si="170">MIN(1.087*(N98+6)^-0.65 * F98, 0.17*F98)</f>
        <v>1.6090779310162051</v>
      </c>
      <c r="R98" s="4">
        <f t="shared" ref="R98:R116" si="171">Q98/L98</f>
        <v>1.5961751280528652E-3</v>
      </c>
      <c r="S98" s="4">
        <f t="shared" ref="S98:S120" si="172">INDEX($Q$3:$Q$140, MATCH(MIN($R$3:$R$140),$R$3:$R$140,0))</f>
        <v>0.61608576198424669</v>
      </c>
      <c r="T98" s="2">
        <f t="shared" ref="T98:T120" si="173">INDEX($L$3:$L$140, MATCH(MIN($R$3:$R$140),$R$3:$R$140,0))</f>
        <v>1004.3435484280518</v>
      </c>
      <c r="U98" s="6">
        <f t="shared" ref="U98:U116" si="174">S98*L98/T98</f>
        <v>0.6183799746991967</v>
      </c>
      <c r="V98" s="4">
        <f t="shared" ref="V98:V116" si="175">U98/P98</f>
        <v>0.70226163717593704</v>
      </c>
      <c r="W98" s="4">
        <f t="shared" ref="W98:W116" si="176">POWER(V98*(1.9-0.9*V98),0.3)</f>
        <v>0.96578802115731244</v>
      </c>
      <c r="X98" s="3">
        <f t="shared" ref="X98:X116" si="177">0.6*A98*G98*E98*(1+0.5*SIN(N98*PI()/180)^1.5)*W98/1000</f>
        <v>21.136262862329723</v>
      </c>
      <c r="Y98" s="8">
        <f>X98*SIN(N98*PI()/180)</f>
        <v>4.717524674764892</v>
      </c>
      <c r="Z98" s="3">
        <f>X98*COS(N98*PI()/180)</f>
        <v>20.603071827484442</v>
      </c>
      <c r="AA98" s="3">
        <f t="shared" ref="AA98:AA116" si="178">L98*X98</f>
        <v>21307.119449618287</v>
      </c>
      <c r="AB98" s="3">
        <f>AB13-B3</f>
        <v>765.34670600000004</v>
      </c>
      <c r="AC98" s="3"/>
      <c r="AD98" s="3"/>
    </row>
    <row r="99" spans="1:30">
      <c r="A99" s="7">
        <f>A98</f>
        <v>490</v>
      </c>
      <c r="B99" s="3">
        <f>B98</f>
        <v>614.65329399999996</v>
      </c>
      <c r="D99" s="1">
        <f>D98+1</f>
        <v>94</v>
      </c>
      <c r="E99" s="2">
        <f t="shared" ref="E99:F114" si="179">E98</f>
        <v>10</v>
      </c>
      <c r="F99" s="2">
        <f t="shared" si="179"/>
        <v>10</v>
      </c>
      <c r="G99" s="2">
        <f t="shared" si="166"/>
        <v>7.0710678118654746</v>
      </c>
      <c r="H99" s="2">
        <f t="shared" ref="H99:H120" si="180">-$AB$3</f>
        <v>-368</v>
      </c>
      <c r="I99" s="2">
        <f t="shared" si="167"/>
        <v>215</v>
      </c>
      <c r="J99" s="20">
        <f t="shared" si="168"/>
        <v>-982.65329399999996</v>
      </c>
      <c r="K99" s="2">
        <f t="shared" ref="K99:K116" si="181">I99</f>
        <v>215</v>
      </c>
      <c r="L99" s="2">
        <f t="shared" si="169"/>
        <v>1005.8988498895156</v>
      </c>
      <c r="M99" s="2">
        <f t="shared" ref="M99:M116" si="182">IF(J99=0,"infinity",ABS(K99/J99))</f>
        <v>0.21879537911567823</v>
      </c>
      <c r="N99" s="2">
        <f t="shared" ref="N99:N116" si="183">IF(J99=0,90,ATAN(M99)*180/PI())</f>
        <v>12.341568552646912</v>
      </c>
      <c r="P99" s="4">
        <f t="shared" ref="P99:P116" si="184">0.209 * (N99+2)^-0.32 * F99</f>
        <v>0.89132350024715856</v>
      </c>
      <c r="Q99" s="4">
        <f t="shared" si="170"/>
        <v>1.6405740448954034</v>
      </c>
      <c r="R99" s="4">
        <f t="shared" si="171"/>
        <v>1.6309532962241662E-3</v>
      </c>
      <c r="S99" s="4">
        <f t="shared" si="172"/>
        <v>0.61608576198424669</v>
      </c>
      <c r="T99" s="2">
        <f t="shared" si="173"/>
        <v>1004.3435484280518</v>
      </c>
      <c r="U99" s="6">
        <f t="shared" si="174"/>
        <v>0.61703981708571165</v>
      </c>
      <c r="V99" s="4">
        <f t="shared" si="175"/>
        <v>0.69227369963274865</v>
      </c>
      <c r="W99" s="4">
        <f t="shared" si="176"/>
        <v>0.96368675929479575</v>
      </c>
      <c r="X99" s="3">
        <f t="shared" si="177"/>
        <v>21.023864357426067</v>
      </c>
      <c r="Y99" s="8">
        <f t="shared" ref="Y99:Y116" si="185">X99*SIN(N99*PI()/180)</f>
        <v>4.4936236256190965</v>
      </c>
      <c r="Z99" s="3">
        <f t="shared" ref="Z99:Z116" si="186">X99*COS(N99*PI()/180)</f>
        <v>20.538018873073618</v>
      </c>
      <c r="AA99" s="3">
        <f t="shared" si="178"/>
        <v>21147.880977368062</v>
      </c>
      <c r="AC99" s="3"/>
      <c r="AD99" s="3"/>
    </row>
    <row r="100" spans="1:30">
      <c r="A100" s="7">
        <f>A99</f>
        <v>490</v>
      </c>
      <c r="B100" s="3">
        <f>B99</f>
        <v>614.65329399999996</v>
      </c>
      <c r="D100" s="1">
        <f t="shared" ref="D100:D120" si="187">D99+1</f>
        <v>95</v>
      </c>
      <c r="E100" s="2">
        <f t="shared" si="179"/>
        <v>10</v>
      </c>
      <c r="F100" s="2">
        <f t="shared" si="179"/>
        <v>10</v>
      </c>
      <c r="G100" s="2">
        <f t="shared" si="166"/>
        <v>7.0710678118654746</v>
      </c>
      <c r="H100" s="2">
        <f t="shared" si="180"/>
        <v>-368</v>
      </c>
      <c r="I100" s="2">
        <f t="shared" si="167"/>
        <v>205</v>
      </c>
      <c r="J100" s="20">
        <f t="shared" si="168"/>
        <v>-982.65329399999996</v>
      </c>
      <c r="K100" s="2">
        <f t="shared" si="181"/>
        <v>205</v>
      </c>
      <c r="L100" s="2">
        <f t="shared" si="169"/>
        <v>1003.8089938873085</v>
      </c>
      <c r="M100" s="2">
        <f t="shared" si="182"/>
        <v>0.2086188498544839</v>
      </c>
      <c r="N100" s="2">
        <f t="shared" si="183"/>
        <v>11.783966443183207</v>
      </c>
      <c r="P100" s="4">
        <f t="shared" si="184"/>
        <v>0.90270643802140915</v>
      </c>
      <c r="Q100" s="4">
        <f t="shared" si="170"/>
        <v>1.6738284082747006</v>
      </c>
      <c r="R100" s="4">
        <f t="shared" si="171"/>
        <v>1.6674769985798824E-3</v>
      </c>
      <c r="S100" s="4">
        <f t="shared" si="172"/>
        <v>0.61608576198424669</v>
      </c>
      <c r="T100" s="2">
        <f t="shared" si="173"/>
        <v>1004.3435484280518</v>
      </c>
      <c r="U100" s="6">
        <f t="shared" si="174"/>
        <v>0.61575785482332412</v>
      </c>
      <c r="V100" s="4">
        <f t="shared" si="175"/>
        <v>0.68212414234351615</v>
      </c>
      <c r="W100" s="4">
        <f t="shared" si="176"/>
        <v>0.96148001057245069</v>
      </c>
      <c r="X100" s="3">
        <f t="shared" si="177"/>
        <v>20.910501791884613</v>
      </c>
      <c r="Y100" s="8">
        <f t="shared" si="185"/>
        <v>4.2703869893972897</v>
      </c>
      <c r="Z100" s="3">
        <f t="shared" si="186"/>
        <v>20.46980410627312</v>
      </c>
      <c r="AA100" s="3">
        <f t="shared" si="178"/>
        <v>20990.149765390455</v>
      </c>
      <c r="AC100" s="3"/>
      <c r="AD100" s="3"/>
    </row>
    <row r="101" spans="1:30">
      <c r="A101" s="7">
        <f t="shared" ref="A101:B116" si="188">A100</f>
        <v>490</v>
      </c>
      <c r="B101" s="3">
        <f t="shared" si="188"/>
        <v>614.65329399999996</v>
      </c>
      <c r="D101" s="1">
        <f t="shared" si="187"/>
        <v>96</v>
      </c>
      <c r="E101" s="2">
        <f t="shared" si="179"/>
        <v>10</v>
      </c>
      <c r="F101" s="2">
        <f t="shared" si="179"/>
        <v>10</v>
      </c>
      <c r="G101" s="2">
        <f t="shared" si="166"/>
        <v>7.0710678118654746</v>
      </c>
      <c r="H101" s="2">
        <f t="shared" si="180"/>
        <v>-368</v>
      </c>
      <c r="I101" s="2">
        <f t="shared" si="167"/>
        <v>195</v>
      </c>
      <c r="J101" s="20">
        <f t="shared" si="168"/>
        <v>-982.65329399999996</v>
      </c>
      <c r="K101" s="2">
        <f t="shared" si="181"/>
        <v>195</v>
      </c>
      <c r="L101" s="2">
        <f t="shared" si="169"/>
        <v>1001.8146017148334</v>
      </c>
      <c r="M101" s="2">
        <f t="shared" si="182"/>
        <v>0.19844232059328953</v>
      </c>
      <c r="N101" s="2">
        <f t="shared" si="183"/>
        <v>11.224091001173489</v>
      </c>
      <c r="P101" s="4">
        <f t="shared" si="184"/>
        <v>0.91476432840482769</v>
      </c>
      <c r="Q101" s="4">
        <f t="shared" si="170"/>
        <v>1.7000000000000002</v>
      </c>
      <c r="R101" s="4">
        <f t="shared" si="171"/>
        <v>1.6969207646704927E-3</v>
      </c>
      <c r="S101" s="4">
        <f t="shared" si="172"/>
        <v>0.61608576198424669</v>
      </c>
      <c r="T101" s="2">
        <f t="shared" si="173"/>
        <v>1004.3435484280518</v>
      </c>
      <c r="U101" s="6">
        <f t="shared" si="174"/>
        <v>0.61453445211097746</v>
      </c>
      <c r="V101" s="4">
        <f t="shared" si="175"/>
        <v>0.6717953827327382</v>
      </c>
      <c r="W101" s="4">
        <f t="shared" si="176"/>
        <v>0.959159159799296</v>
      </c>
      <c r="X101" s="3">
        <f t="shared" si="177"/>
        <v>20.796079285694578</v>
      </c>
      <c r="Y101" s="8">
        <f t="shared" si="185"/>
        <v>4.0478901522986241</v>
      </c>
      <c r="Z101" s="3">
        <f t="shared" si="186"/>
        <v>20.39832098413541</v>
      </c>
      <c r="AA101" s="3">
        <f t="shared" si="178"/>
        <v>20833.815886828212</v>
      </c>
      <c r="AC101" s="3"/>
      <c r="AD101" s="3"/>
    </row>
    <row r="102" spans="1:30">
      <c r="A102" s="7">
        <f t="shared" si="188"/>
        <v>490</v>
      </c>
      <c r="B102" s="3">
        <f t="shared" si="188"/>
        <v>614.65329399999996</v>
      </c>
      <c r="D102" s="1">
        <f t="shared" si="187"/>
        <v>97</v>
      </c>
      <c r="E102" s="2">
        <f t="shared" si="179"/>
        <v>10</v>
      </c>
      <c r="F102" s="2">
        <f t="shared" si="179"/>
        <v>10</v>
      </c>
      <c r="G102" s="2">
        <f t="shared" si="166"/>
        <v>7.0710678118654746</v>
      </c>
      <c r="H102" s="2">
        <f t="shared" si="180"/>
        <v>-368</v>
      </c>
      <c r="I102" s="2">
        <f t="shared" si="167"/>
        <v>185</v>
      </c>
      <c r="J102" s="20">
        <f t="shared" si="168"/>
        <v>-982.65329399999996</v>
      </c>
      <c r="K102" s="2">
        <f t="shared" si="181"/>
        <v>185</v>
      </c>
      <c r="L102" s="2">
        <f t="shared" si="169"/>
        <v>999.91624459704144</v>
      </c>
      <c r="M102" s="2">
        <f t="shared" si="182"/>
        <v>0.1882657913320952</v>
      </c>
      <c r="N102" s="2">
        <f t="shared" si="183"/>
        <v>10.662035852094908</v>
      </c>
      <c r="P102" s="4">
        <f t="shared" si="184"/>
        <v>0.92756671017319792</v>
      </c>
      <c r="Q102" s="4">
        <f t="shared" si="170"/>
        <v>1.7000000000000002</v>
      </c>
      <c r="R102" s="4">
        <f t="shared" si="171"/>
        <v>1.7001423961114735E-3</v>
      </c>
      <c r="S102" s="4">
        <f t="shared" si="172"/>
        <v>0.61608576198424669</v>
      </c>
      <c r="T102" s="2">
        <f t="shared" si="173"/>
        <v>1004.3435484280518</v>
      </c>
      <c r="U102" s="6">
        <f t="shared" si="174"/>
        <v>0.61336995935024474</v>
      </c>
      <c r="V102" s="4">
        <f t="shared" si="175"/>
        <v>0.66126775855907394</v>
      </c>
      <c r="W102" s="4">
        <f t="shared" si="176"/>
        <v>0.95671433618508683</v>
      </c>
      <c r="X102" s="3">
        <f t="shared" si="177"/>
        <v>20.680477655674991</v>
      </c>
      <c r="Y102" s="8">
        <f t="shared" si="185"/>
        <v>3.8262088319623984</v>
      </c>
      <c r="Z102" s="3">
        <f t="shared" si="186"/>
        <v>20.323441687890501</v>
      </c>
      <c r="AA102" s="3">
        <f t="shared" si="178"/>
        <v>20678.745553935565</v>
      </c>
      <c r="AC102" s="3"/>
      <c r="AD102" s="3"/>
    </row>
    <row r="103" spans="1:30">
      <c r="A103" s="7">
        <f t="shared" si="188"/>
        <v>490</v>
      </c>
      <c r="B103" s="3">
        <f t="shared" si="188"/>
        <v>614.65329399999996</v>
      </c>
      <c r="D103" s="1">
        <f t="shared" si="187"/>
        <v>98</v>
      </c>
      <c r="E103" s="2">
        <f t="shared" si="179"/>
        <v>10</v>
      </c>
      <c r="F103" s="2">
        <f t="shared" si="179"/>
        <v>10</v>
      </c>
      <c r="G103" s="2">
        <f t="shared" si="166"/>
        <v>7.0710678118654746</v>
      </c>
      <c r="H103" s="2">
        <f t="shared" si="180"/>
        <v>-368</v>
      </c>
      <c r="I103" s="2">
        <f t="shared" si="167"/>
        <v>175</v>
      </c>
      <c r="J103" s="20">
        <f t="shared" si="168"/>
        <v>-982.65329399999996</v>
      </c>
      <c r="K103" s="2">
        <f t="shared" si="181"/>
        <v>175</v>
      </c>
      <c r="L103" s="2">
        <f t="shared" si="169"/>
        <v>998.11447049376579</v>
      </c>
      <c r="M103" s="2">
        <f t="shared" si="182"/>
        <v>0.17808926207090087</v>
      </c>
      <c r="N103" s="2">
        <f t="shared" si="183"/>
        <v>10.097897029299515</v>
      </c>
      <c r="P103" s="4">
        <f t="shared" si="184"/>
        <v>0.9411939423248995</v>
      </c>
      <c r="Q103" s="4">
        <f t="shared" si="170"/>
        <v>1.7000000000000002</v>
      </c>
      <c r="R103" s="4">
        <f t="shared" si="171"/>
        <v>1.7032114554546159E-3</v>
      </c>
      <c r="S103" s="4">
        <f t="shared" si="172"/>
        <v>0.61608576198424669</v>
      </c>
      <c r="T103" s="2">
        <f t="shared" si="173"/>
        <v>1004.3435484280518</v>
      </c>
      <c r="U103" s="6">
        <f t="shared" si="174"/>
        <v>0.61226471267137927</v>
      </c>
      <c r="V103" s="4">
        <f t="shared" si="175"/>
        <v>0.65051918115727303</v>
      </c>
      <c r="W103" s="4">
        <f t="shared" si="176"/>
        <v>0.95413417994139682</v>
      </c>
      <c r="X103" s="3">
        <f t="shared" si="177"/>
        <v>20.563549861374973</v>
      </c>
      <c r="Y103" s="8">
        <f t="shared" si="185"/>
        <v>3.6054193503079737</v>
      </c>
      <c r="Z103" s="3">
        <f t="shared" si="186"/>
        <v>20.245012576179828</v>
      </c>
      <c r="AA103" s="3">
        <f t="shared" si="178"/>
        <v>20524.776681358431</v>
      </c>
      <c r="AC103" s="3"/>
      <c r="AD103" s="3"/>
    </row>
    <row r="104" spans="1:30" hidden="1">
      <c r="A104" s="7">
        <f t="shared" si="188"/>
        <v>490</v>
      </c>
      <c r="B104" s="3">
        <f t="shared" si="188"/>
        <v>614.65329399999996</v>
      </c>
      <c r="D104" s="1">
        <f t="shared" si="187"/>
        <v>99</v>
      </c>
      <c r="E104" s="2">
        <f t="shared" si="179"/>
        <v>10</v>
      </c>
      <c r="F104" s="2">
        <f t="shared" si="179"/>
        <v>10</v>
      </c>
      <c r="G104" s="2">
        <f t="shared" si="166"/>
        <v>7.0710678118654746</v>
      </c>
      <c r="H104" s="2">
        <f t="shared" si="180"/>
        <v>-368</v>
      </c>
      <c r="I104" s="2">
        <f t="shared" si="167"/>
        <v>165</v>
      </c>
      <c r="J104" s="20">
        <f t="shared" si="168"/>
        <v>-982.65329399999996</v>
      </c>
      <c r="K104" s="2">
        <f t="shared" si="181"/>
        <v>165</v>
      </c>
      <c r="L104" s="2">
        <f t="shared" si="169"/>
        <v>996.40980334852713</v>
      </c>
      <c r="M104" s="2">
        <f t="shared" si="182"/>
        <v>0.16791273280970653</v>
      </c>
      <c r="N104" s="2">
        <f t="shared" si="183"/>
        <v>9.5317728949436091</v>
      </c>
      <c r="P104" s="4">
        <f t="shared" si="184"/>
        <v>0.95573951053436013</v>
      </c>
      <c r="Q104" s="4">
        <f t="shared" si="170"/>
        <v>1.7000000000000002</v>
      </c>
      <c r="R104" s="4">
        <f t="shared" si="171"/>
        <v>1.7061253254303532E-3</v>
      </c>
      <c r="S104" s="4">
        <f t="shared" si="172"/>
        <v>0.61608576198424669</v>
      </c>
      <c r="T104" s="2">
        <f t="shared" si="173"/>
        <v>1004.3435484280518</v>
      </c>
      <c r="U104" s="6">
        <f t="shared" si="174"/>
        <v>0.61121903347251594</v>
      </c>
      <c r="V104" s="4">
        <f t="shared" si="175"/>
        <v>0.63952471017001211</v>
      </c>
      <c r="W104" s="4">
        <f t="shared" si="176"/>
        <v>0.95140555199000987</v>
      </c>
      <c r="X104" s="3">
        <f t="shared" si="177"/>
        <v>20.445115339056866</v>
      </c>
      <c r="Y104" s="8">
        <f t="shared" si="185"/>
        <v>3.3855989971270994</v>
      </c>
      <c r="Z104" s="3">
        <f t="shared" si="186"/>
        <v>20.162848525394182</v>
      </c>
      <c r="AA104" s="3">
        <f t="shared" si="178"/>
        <v>20371.713354427608</v>
      </c>
      <c r="AB104" s="3"/>
      <c r="AC104" s="3"/>
      <c r="AD104" s="3"/>
    </row>
    <row r="105" spans="1:30" hidden="1">
      <c r="A105" s="7">
        <f t="shared" si="188"/>
        <v>490</v>
      </c>
      <c r="B105" s="3">
        <f t="shared" si="188"/>
        <v>614.65329399999996</v>
      </c>
      <c r="D105" s="1">
        <f t="shared" si="187"/>
        <v>100</v>
      </c>
      <c r="E105" s="2">
        <f t="shared" si="179"/>
        <v>10</v>
      </c>
      <c r="F105" s="2">
        <f t="shared" si="179"/>
        <v>10</v>
      </c>
      <c r="G105" s="2">
        <f t="shared" si="166"/>
        <v>7.0710678118654746</v>
      </c>
      <c r="H105" s="2">
        <f t="shared" si="180"/>
        <v>-368</v>
      </c>
      <c r="I105" s="2">
        <f t="shared" si="167"/>
        <v>155</v>
      </c>
      <c r="J105" s="20">
        <f t="shared" si="168"/>
        <v>-982.65329399999996</v>
      </c>
      <c r="K105" s="2">
        <f t="shared" si="181"/>
        <v>155</v>
      </c>
      <c r="L105" s="2">
        <f t="shared" si="169"/>
        <v>994.80274236104231</v>
      </c>
      <c r="M105" s="2">
        <f t="shared" si="182"/>
        <v>0.1577362035485122</v>
      </c>
      <c r="N105" s="2">
        <f t="shared" si="183"/>
        <v>8.9637640547429598</v>
      </c>
      <c r="P105" s="4">
        <f t="shared" si="184"/>
        <v>0.97131297075204193</v>
      </c>
      <c r="Q105" s="4">
        <f t="shared" si="170"/>
        <v>1.7000000000000002</v>
      </c>
      <c r="R105" s="4">
        <f t="shared" si="171"/>
        <v>1.7088814974165216E-3</v>
      </c>
      <c r="S105" s="4">
        <f t="shared" si="172"/>
        <v>0.61608576198424669</v>
      </c>
      <c r="T105" s="2">
        <f t="shared" si="173"/>
        <v>1004.3435484280518</v>
      </c>
      <c r="U105" s="6">
        <f t="shared" si="174"/>
        <v>0.61023322797341217</v>
      </c>
      <c r="V105" s="4">
        <f t="shared" si="175"/>
        <v>0.62825602699502436</v>
      </c>
      <c r="W105" s="4">
        <f t="shared" si="176"/>
        <v>0.94851316927084028</v>
      </c>
      <c r="X105" s="3">
        <f t="shared" si="177"/>
        <v>20.324952879105844</v>
      </c>
      <c r="Y105" s="8">
        <f t="shared" si="185"/>
        <v>3.1668265095293107</v>
      </c>
      <c r="Z105" s="3">
        <f t="shared" si="186"/>
        <v>20.076725813648384</v>
      </c>
      <c r="AA105" s="3">
        <f t="shared" si="178"/>
        <v>20219.318862493456</v>
      </c>
      <c r="AB105" s="3"/>
      <c r="AC105" s="3"/>
      <c r="AD105" s="3"/>
    </row>
    <row r="106" spans="1:30" hidden="1">
      <c r="A106" s="7">
        <f t="shared" si="188"/>
        <v>490</v>
      </c>
      <c r="B106" s="3">
        <f t="shared" si="188"/>
        <v>614.65329399999996</v>
      </c>
      <c r="D106" s="1">
        <f t="shared" si="187"/>
        <v>101</v>
      </c>
      <c r="E106" s="2">
        <f t="shared" si="179"/>
        <v>10</v>
      </c>
      <c r="F106" s="2">
        <f t="shared" si="179"/>
        <v>10</v>
      </c>
      <c r="G106" s="2">
        <f t="shared" si="166"/>
        <v>7.0710678118654746</v>
      </c>
      <c r="H106" s="2">
        <f t="shared" si="180"/>
        <v>-368</v>
      </c>
      <c r="I106" s="2">
        <f t="shared" si="167"/>
        <v>145</v>
      </c>
      <c r="J106" s="20">
        <f t="shared" si="168"/>
        <v>-982.65329399999996</v>
      </c>
      <c r="K106" s="2">
        <f t="shared" si="181"/>
        <v>145</v>
      </c>
      <c r="L106" s="2">
        <f t="shared" si="169"/>
        <v>993.29376128567844</v>
      </c>
      <c r="M106" s="2">
        <f t="shared" si="182"/>
        <v>0.14755967428731787</v>
      </c>
      <c r="N106" s="2">
        <f t="shared" si="183"/>
        <v>8.3939732666777953</v>
      </c>
      <c r="P106" s="4">
        <f t="shared" si="184"/>
        <v>0.98804375054037119</v>
      </c>
      <c r="Q106" s="4">
        <f t="shared" si="170"/>
        <v>1.7000000000000002</v>
      </c>
      <c r="R106" s="4">
        <f t="shared" si="171"/>
        <v>1.7114775771868238E-3</v>
      </c>
      <c r="S106" s="4">
        <f t="shared" si="172"/>
        <v>0.61608576198424669</v>
      </c>
      <c r="T106" s="2">
        <f t="shared" si="173"/>
        <v>1004.3435484280518</v>
      </c>
      <c r="U106" s="6">
        <f t="shared" si="174"/>
        <v>0.60930758678510522</v>
      </c>
      <c r="V106" s="4">
        <f t="shared" si="175"/>
        <v>0.61668077597967563</v>
      </c>
      <c r="W106" s="4">
        <f t="shared" si="176"/>
        <v>0.94543914151531672</v>
      </c>
      <c r="X106" s="3">
        <f t="shared" si="177"/>
        <v>20.202791571008483</v>
      </c>
      <c r="Y106" s="8">
        <f t="shared" si="185"/>
        <v>2.9491827010012921</v>
      </c>
      <c r="Z106" s="3">
        <f t="shared" si="186"/>
        <v>19.986373074115427</v>
      </c>
      <c r="AA106" s="3">
        <f t="shared" si="178"/>
        <v>20067.306828037617</v>
      </c>
      <c r="AB106" s="3"/>
      <c r="AC106" s="3"/>
      <c r="AD106" s="3"/>
    </row>
    <row r="107" spans="1:30" hidden="1">
      <c r="A107" s="7">
        <f t="shared" si="188"/>
        <v>490</v>
      </c>
      <c r="B107" s="3">
        <f t="shared" si="188"/>
        <v>614.65329399999996</v>
      </c>
      <c r="D107" s="1">
        <f t="shared" si="187"/>
        <v>102</v>
      </c>
      <c r="E107" s="2">
        <f t="shared" si="179"/>
        <v>10</v>
      </c>
      <c r="F107" s="2">
        <f t="shared" si="179"/>
        <v>10</v>
      </c>
      <c r="G107" s="2">
        <f t="shared" si="166"/>
        <v>7.0710678118654746</v>
      </c>
      <c r="H107" s="2">
        <f t="shared" si="180"/>
        <v>-368</v>
      </c>
      <c r="I107" s="2">
        <f t="shared" si="167"/>
        <v>135</v>
      </c>
      <c r="J107" s="20">
        <f t="shared" si="168"/>
        <v>-982.65329399999996</v>
      </c>
      <c r="K107" s="2">
        <f t="shared" si="181"/>
        <v>135</v>
      </c>
      <c r="L107" s="2">
        <f t="shared" si="169"/>
        <v>991.88330775804991</v>
      </c>
      <c r="M107" s="2">
        <f t="shared" si="182"/>
        <v>0.13738314502612353</v>
      </c>
      <c r="N107" s="2">
        <f t="shared" si="183"/>
        <v>7.8225053438002208</v>
      </c>
      <c r="P107" s="4">
        <f t="shared" si="184"/>
        <v>1.0060861223396713</v>
      </c>
      <c r="Q107" s="4">
        <f t="shared" si="170"/>
        <v>1.7000000000000002</v>
      </c>
      <c r="R107" s="4">
        <f t="shared" si="171"/>
        <v>1.7139112904747875E-3</v>
      </c>
      <c r="S107" s="4">
        <f t="shared" si="172"/>
        <v>0.61608576198424669</v>
      </c>
      <c r="T107" s="2">
        <f t="shared" si="173"/>
        <v>1004.3435484280518</v>
      </c>
      <c r="U107" s="6">
        <f t="shared" si="174"/>
        <v>0.60844238449683197</v>
      </c>
      <c r="V107" s="4">
        <f t="shared" si="175"/>
        <v>0.60476173061793981</v>
      </c>
      <c r="W107" s="4">
        <f t="shared" si="176"/>
        <v>0.94216237569404815</v>
      </c>
      <c r="X107" s="3">
        <f t="shared" si="177"/>
        <v>20.07829914867456</v>
      </c>
      <c r="Y107" s="8">
        <f t="shared" si="185"/>
        <v>2.7327512862352306</v>
      </c>
      <c r="Z107" s="3">
        <f t="shared" si="186"/>
        <v>19.891459652605821</v>
      </c>
      <c r="AA107" s="3">
        <f t="shared" si="178"/>
        <v>19915.32977374296</v>
      </c>
      <c r="AB107" s="3"/>
      <c r="AC107" s="3"/>
      <c r="AD107" s="3"/>
    </row>
    <row r="108" spans="1:30" hidden="1">
      <c r="A108" s="7">
        <f t="shared" si="188"/>
        <v>490</v>
      </c>
      <c r="B108" s="3">
        <f t="shared" si="188"/>
        <v>614.65329399999996</v>
      </c>
      <c r="D108" s="1">
        <f t="shared" si="187"/>
        <v>103</v>
      </c>
      <c r="E108" s="2">
        <f t="shared" si="179"/>
        <v>10</v>
      </c>
      <c r="F108" s="2">
        <f t="shared" si="179"/>
        <v>10</v>
      </c>
      <c r="G108" s="2">
        <f t="shared" si="166"/>
        <v>7.0710678118654746</v>
      </c>
      <c r="H108" s="2">
        <f t="shared" si="180"/>
        <v>-368</v>
      </c>
      <c r="I108" s="2">
        <f t="shared" si="167"/>
        <v>125</v>
      </c>
      <c r="J108" s="20">
        <f t="shared" si="168"/>
        <v>-982.65329399999996</v>
      </c>
      <c r="K108" s="2">
        <f t="shared" si="181"/>
        <v>125</v>
      </c>
      <c r="L108" s="2">
        <f t="shared" si="169"/>
        <v>990.57180265190789</v>
      </c>
      <c r="M108" s="2">
        <f t="shared" si="182"/>
        <v>0.1272066157649292</v>
      </c>
      <c r="N108" s="2">
        <f t="shared" si="183"/>
        <v>7.2494670513256025</v>
      </c>
      <c r="P108" s="4">
        <f t="shared" si="184"/>
        <v>1.0256258043992372</v>
      </c>
      <c r="Q108" s="4">
        <f t="shared" si="170"/>
        <v>1.7000000000000002</v>
      </c>
      <c r="R108" s="4">
        <f t="shared" si="171"/>
        <v>1.7161804883289102E-3</v>
      </c>
      <c r="S108" s="4">
        <f t="shared" si="172"/>
        <v>0.61608576198424669</v>
      </c>
      <c r="T108" s="2">
        <f t="shared" si="173"/>
        <v>1004.3435484280518</v>
      </c>
      <c r="U108" s="6">
        <f t="shared" si="174"/>
        <v>0.60763787928153157</v>
      </c>
      <c r="V108" s="4">
        <f t="shared" si="175"/>
        <v>0.59245572476353292</v>
      </c>
      <c r="W108" s="4">
        <f t="shared" si="176"/>
        <v>0.93865780000458776</v>
      </c>
      <c r="X108" s="3">
        <f t="shared" si="177"/>
        <v>19.951066784470161</v>
      </c>
      <c r="Y108" s="8">
        <f t="shared" si="185"/>
        <v>2.5176199659451983</v>
      </c>
      <c r="Z108" s="3">
        <f t="shared" si="186"/>
        <v>19.791580420609737</v>
      </c>
      <c r="AA108" s="3">
        <f t="shared" si="178"/>
        <v>19762.964189521212</v>
      </c>
      <c r="AB108" s="3"/>
      <c r="AC108" s="3"/>
      <c r="AD108" s="3"/>
    </row>
    <row r="109" spans="1:30" hidden="1">
      <c r="A109" s="7">
        <f t="shared" si="188"/>
        <v>490</v>
      </c>
      <c r="B109" s="3">
        <f t="shared" si="188"/>
        <v>614.65329399999996</v>
      </c>
      <c r="D109" s="1">
        <f t="shared" si="187"/>
        <v>104</v>
      </c>
      <c r="E109" s="2">
        <f t="shared" si="179"/>
        <v>10</v>
      </c>
      <c r="F109" s="2">
        <f t="shared" si="179"/>
        <v>10</v>
      </c>
      <c r="G109" s="2">
        <f t="shared" si="166"/>
        <v>7.0710678118654746</v>
      </c>
      <c r="H109" s="2">
        <f t="shared" si="180"/>
        <v>-368</v>
      </c>
      <c r="I109" s="2">
        <f t="shared" si="167"/>
        <v>115</v>
      </c>
      <c r="J109" s="20">
        <f t="shared" si="168"/>
        <v>-982.65329399999996</v>
      </c>
      <c r="K109" s="2">
        <f t="shared" si="181"/>
        <v>115</v>
      </c>
      <c r="L109" s="2">
        <f t="shared" si="169"/>
        <v>989.359639468404</v>
      </c>
      <c r="M109" s="2">
        <f t="shared" si="182"/>
        <v>0.11703008650373486</v>
      </c>
      <c r="N109" s="2">
        <f t="shared" si="183"/>
        <v>6.6749669982179354</v>
      </c>
      <c r="P109" s="4">
        <f t="shared" si="184"/>
        <v>1.0468888638972145</v>
      </c>
      <c r="Q109" s="4">
        <f t="shared" si="170"/>
        <v>1.7000000000000002</v>
      </c>
      <c r="R109" s="4">
        <f t="shared" si="171"/>
        <v>1.7182831522351493E-3</v>
      </c>
      <c r="S109" s="4">
        <f t="shared" si="172"/>
        <v>0.61608576198424669</v>
      </c>
      <c r="T109" s="2">
        <f t="shared" si="173"/>
        <v>1004.3435484280518</v>
      </c>
      <c r="U109" s="6">
        <f t="shared" si="174"/>
        <v>0.60689431252120618</v>
      </c>
      <c r="V109" s="4">
        <f t="shared" si="175"/>
        <v>0.57971226311639534</v>
      </c>
      <c r="W109" s="4">
        <f t="shared" si="176"/>
        <v>0.93489533751139298</v>
      </c>
      <c r="X109" s="3">
        <f t="shared" si="177"/>
        <v>19.8205889487961</v>
      </c>
      <c r="Y109" s="8">
        <f t="shared" si="185"/>
        <v>2.3038818627534536</v>
      </c>
      <c r="Z109" s="3">
        <f t="shared" si="186"/>
        <v>19.686235664535101</v>
      </c>
      <c r="AA109" s="3">
        <f t="shared" si="178"/>
        <v>19609.690736432342</v>
      </c>
      <c r="AB109" s="3"/>
      <c r="AC109" s="3"/>
      <c r="AD109" s="3"/>
    </row>
    <row r="110" spans="1:30" hidden="1">
      <c r="A110" s="7">
        <f t="shared" si="188"/>
        <v>490</v>
      </c>
      <c r="B110" s="3">
        <f t="shared" si="188"/>
        <v>614.65329399999996</v>
      </c>
      <c r="D110" s="1">
        <f t="shared" si="187"/>
        <v>105</v>
      </c>
      <c r="E110" s="2">
        <f t="shared" si="179"/>
        <v>10</v>
      </c>
      <c r="F110" s="2">
        <f t="shared" si="179"/>
        <v>10</v>
      </c>
      <c r="G110" s="2">
        <f t="shared" si="166"/>
        <v>7.0710678118654746</v>
      </c>
      <c r="H110" s="2">
        <f t="shared" si="180"/>
        <v>-368</v>
      </c>
      <c r="I110" s="2">
        <f t="shared" si="167"/>
        <v>105</v>
      </c>
      <c r="J110" s="20">
        <f t="shared" si="168"/>
        <v>-982.65329399999996</v>
      </c>
      <c r="K110" s="2">
        <f t="shared" si="181"/>
        <v>105</v>
      </c>
      <c r="L110" s="2">
        <f t="shared" si="169"/>
        <v>988.24718375973646</v>
      </c>
      <c r="M110" s="2">
        <f t="shared" si="182"/>
        <v>0.10685355724254053</v>
      </c>
      <c r="N110" s="2">
        <f t="shared" si="183"/>
        <v>6.0991155235072059</v>
      </c>
      <c r="P110" s="4">
        <f t="shared" si="184"/>
        <v>1.0701539433647842</v>
      </c>
      <c r="Q110" s="4">
        <f t="shared" si="170"/>
        <v>1.7000000000000002</v>
      </c>
      <c r="R110" s="4">
        <f t="shared" si="171"/>
        <v>1.720217398983558E-3</v>
      </c>
      <c r="S110" s="4">
        <f t="shared" si="172"/>
        <v>0.61608576198424669</v>
      </c>
      <c r="T110" s="2">
        <f t="shared" si="173"/>
        <v>1004.3435484280518</v>
      </c>
      <c r="U110" s="6">
        <f t="shared" si="174"/>
        <v>0.60621190845337414</v>
      </c>
      <c r="V110" s="4">
        <f t="shared" si="175"/>
        <v>0.56647168588410668</v>
      </c>
      <c r="W110" s="4">
        <f t="shared" si="176"/>
        <v>0.93083852577725668</v>
      </c>
      <c r="X110" s="3">
        <f t="shared" si="177"/>
        <v>19.686236281985707</v>
      </c>
      <c r="Y110" s="8">
        <f t="shared" si="185"/>
        <v>2.0916374400830509</v>
      </c>
      <c r="Z110" s="3">
        <f t="shared" si="186"/>
        <v>19.574804003346067</v>
      </c>
      <c r="AA110" s="3">
        <f t="shared" si="178"/>
        <v>19454.867564501121</v>
      </c>
      <c r="AB110" s="3"/>
      <c r="AC110" s="3"/>
      <c r="AD110" s="3"/>
    </row>
    <row r="111" spans="1:30" hidden="1">
      <c r="A111" s="7">
        <f t="shared" si="188"/>
        <v>490</v>
      </c>
      <c r="B111" s="3">
        <f t="shared" si="188"/>
        <v>614.65329399999996</v>
      </c>
      <c r="D111" s="1">
        <f t="shared" si="187"/>
        <v>106</v>
      </c>
      <c r="E111" s="2">
        <f t="shared" si="179"/>
        <v>10</v>
      </c>
      <c r="F111" s="2">
        <f t="shared" si="179"/>
        <v>10</v>
      </c>
      <c r="G111" s="2">
        <f t="shared" si="166"/>
        <v>7.0710678118654746</v>
      </c>
      <c r="H111" s="2">
        <f t="shared" si="180"/>
        <v>-368</v>
      </c>
      <c r="I111" s="2">
        <f t="shared" si="167"/>
        <v>95</v>
      </c>
      <c r="J111" s="20">
        <f t="shared" si="168"/>
        <v>-982.65329399999996</v>
      </c>
      <c r="K111" s="2">
        <f t="shared" si="181"/>
        <v>95</v>
      </c>
      <c r="L111" s="2">
        <f t="shared" si="169"/>
        <v>987.23477258909918</v>
      </c>
      <c r="M111" s="2">
        <f t="shared" si="182"/>
        <v>9.6677027981346184E-2</v>
      </c>
      <c r="N111" s="2">
        <f t="shared" si="183"/>
        <v>5.522024577604089</v>
      </c>
      <c r="P111" s="4">
        <f t="shared" si="184"/>
        <v>1.0957693958986776</v>
      </c>
      <c r="Q111" s="4">
        <f t="shared" si="170"/>
        <v>1.7000000000000002</v>
      </c>
      <c r="R111" s="4">
        <f t="shared" si="171"/>
        <v>1.7219814852566621E-3</v>
      </c>
      <c r="S111" s="4">
        <f t="shared" si="172"/>
        <v>0.61608576198424669</v>
      </c>
      <c r="T111" s="2">
        <f t="shared" si="173"/>
        <v>1004.3435484280518</v>
      </c>
      <c r="U111" s="6">
        <f t="shared" si="174"/>
        <v>0.60559087383979038</v>
      </c>
      <c r="V111" s="4">
        <f t="shared" si="175"/>
        <v>0.55266270084420888</v>
      </c>
      <c r="W111" s="4">
        <f t="shared" si="176"/>
        <v>0.92644262500167318</v>
      </c>
      <c r="X111" s="3">
        <f t="shared" si="177"/>
        <v>19.547218357631401</v>
      </c>
      <c r="Y111" s="8">
        <f t="shared" si="185"/>
        <v>1.8809970997120524</v>
      </c>
      <c r="Z111" s="3">
        <f t="shared" si="186"/>
        <v>19.456505221436785</v>
      </c>
      <c r="AA111" s="3">
        <f t="shared" si="178"/>
        <v>19297.693670045701</v>
      </c>
      <c r="AB111" s="3"/>
      <c r="AC111" s="3"/>
      <c r="AD111" s="3"/>
    </row>
    <row r="112" spans="1:30" hidden="1">
      <c r="A112" s="7">
        <f t="shared" si="188"/>
        <v>490</v>
      </c>
      <c r="B112" s="3">
        <f t="shared" si="188"/>
        <v>614.65329399999996</v>
      </c>
      <c r="D112" s="1">
        <f t="shared" si="187"/>
        <v>107</v>
      </c>
      <c r="E112" s="2">
        <f t="shared" si="179"/>
        <v>10</v>
      </c>
      <c r="F112" s="2">
        <f t="shared" si="179"/>
        <v>10</v>
      </c>
      <c r="G112" s="2">
        <f t="shared" si="166"/>
        <v>7.0710678118654746</v>
      </c>
      <c r="H112" s="2">
        <f t="shared" si="180"/>
        <v>-368</v>
      </c>
      <c r="I112" s="2">
        <f t="shared" si="167"/>
        <v>85</v>
      </c>
      <c r="J112" s="20">
        <f t="shared" si="168"/>
        <v>-982.65329399999996</v>
      </c>
      <c r="K112" s="2">
        <f t="shared" si="181"/>
        <v>85</v>
      </c>
      <c r="L112" s="2">
        <f t="shared" si="169"/>
        <v>986.32271402875563</v>
      </c>
      <c r="M112" s="2">
        <f t="shared" si="182"/>
        <v>8.650049872015185E-2</v>
      </c>
      <c r="N112" s="2">
        <f t="shared" si="183"/>
        <v>4.9438075989036241</v>
      </c>
      <c r="P112" s="4">
        <f t="shared" si="184"/>
        <v>1.1241778626616798</v>
      </c>
      <c r="Q112" s="4">
        <f t="shared" si="170"/>
        <v>1.7000000000000002</v>
      </c>
      <c r="R112" s="4">
        <f t="shared" si="171"/>
        <v>1.7235738119181524E-3</v>
      </c>
      <c r="S112" s="4">
        <f t="shared" si="172"/>
        <v>0.61608576198424669</v>
      </c>
      <c r="T112" s="2">
        <f t="shared" si="173"/>
        <v>1004.3435484280518</v>
      </c>
      <c r="U112" s="6">
        <f t="shared" si="174"/>
        <v>0.60503139765855429</v>
      </c>
      <c r="V112" s="4">
        <f t="shared" si="175"/>
        <v>0.5381989965769659</v>
      </c>
      <c r="W112" s="4">
        <f t="shared" si="176"/>
        <v>0.92165196882641542</v>
      </c>
      <c r="X112" s="3">
        <f t="shared" si="177"/>
        <v>19.402531464972821</v>
      </c>
      <c r="Y112" s="8">
        <f t="shared" si="185"/>
        <v>1.6720847558972549</v>
      </c>
      <c r="Z112" s="3">
        <f t="shared" si="186"/>
        <v>19.330348155642628</v>
      </c>
      <c r="AA112" s="3">
        <f t="shared" si="178"/>
        <v>19137.15749356032</v>
      </c>
      <c r="AB112" s="3"/>
      <c r="AC112" s="3"/>
      <c r="AD112" s="3"/>
    </row>
    <row r="113" spans="1:30" hidden="1">
      <c r="A113" s="7">
        <f t="shared" si="188"/>
        <v>490</v>
      </c>
      <c r="B113" s="3">
        <f t="shared" si="188"/>
        <v>614.65329399999996</v>
      </c>
      <c r="D113" s="1">
        <f t="shared" si="187"/>
        <v>108</v>
      </c>
      <c r="E113" s="2">
        <f t="shared" si="179"/>
        <v>10</v>
      </c>
      <c r="F113" s="2">
        <f t="shared" si="179"/>
        <v>10</v>
      </c>
      <c r="G113" s="2">
        <f t="shared" si="166"/>
        <v>7.0710678118654746</v>
      </c>
      <c r="H113" s="2">
        <f t="shared" si="180"/>
        <v>-368</v>
      </c>
      <c r="I113" s="2">
        <f t="shared" si="167"/>
        <v>75</v>
      </c>
      <c r="J113" s="20">
        <f t="shared" si="168"/>
        <v>-982.65329399999996</v>
      </c>
      <c r="K113" s="2">
        <f t="shared" si="181"/>
        <v>75</v>
      </c>
      <c r="L113" s="2">
        <f t="shared" si="169"/>
        <v>985.51128669795071</v>
      </c>
      <c r="M113" s="2">
        <f t="shared" si="182"/>
        <v>7.6323969458957516E-2</v>
      </c>
      <c r="N113" s="2">
        <f t="shared" si="183"/>
        <v>4.3645793859947206</v>
      </c>
      <c r="P113" s="4">
        <f t="shared" si="184"/>
        <v>1.1559524761136455</v>
      </c>
      <c r="Q113" s="4">
        <f t="shared" si="170"/>
        <v>1.7000000000000002</v>
      </c>
      <c r="R113" s="4">
        <f t="shared" si="171"/>
        <v>1.7249929279815879E-3</v>
      </c>
      <c r="S113" s="4">
        <f t="shared" si="172"/>
        <v>0.61608576198424669</v>
      </c>
      <c r="T113" s="2">
        <f t="shared" si="173"/>
        <v>1004.3435484280518</v>
      </c>
      <c r="U113" s="6">
        <f t="shared" si="174"/>
        <v>0.60453365082065591</v>
      </c>
      <c r="V113" s="4">
        <f t="shared" si="175"/>
        <v>0.52297448494865473</v>
      </c>
      <c r="W113" s="4">
        <f t="shared" si="176"/>
        <v>0.91639616195404161</v>
      </c>
      <c r="X113" s="3">
        <f t="shared" si="177"/>
        <v>19.250883568121104</v>
      </c>
      <c r="Y113" s="8">
        <f t="shared" si="185"/>
        <v>1.4650428534884936</v>
      </c>
      <c r="Z113" s="3">
        <f t="shared" si="186"/>
        <v>19.19505581108837</v>
      </c>
      <c r="AA113" s="3">
        <f t="shared" si="178"/>
        <v>18971.963035291465</v>
      </c>
      <c r="AB113" s="3"/>
      <c r="AC113" s="3"/>
      <c r="AD113" s="3"/>
    </row>
    <row r="114" spans="1:30" hidden="1">
      <c r="A114" s="7">
        <f t="shared" si="188"/>
        <v>490</v>
      </c>
      <c r="B114" s="3">
        <f t="shared" si="188"/>
        <v>614.65329399999996</v>
      </c>
      <c r="D114" s="1">
        <f t="shared" si="187"/>
        <v>109</v>
      </c>
      <c r="E114" s="2">
        <f t="shared" si="179"/>
        <v>10</v>
      </c>
      <c r="F114" s="2">
        <f t="shared" si="179"/>
        <v>10</v>
      </c>
      <c r="G114" s="2">
        <f t="shared" si="166"/>
        <v>7.0710678118654746</v>
      </c>
      <c r="H114" s="2">
        <f t="shared" si="180"/>
        <v>-368</v>
      </c>
      <c r="I114" s="2">
        <f t="shared" si="167"/>
        <v>65</v>
      </c>
      <c r="J114" s="20">
        <f t="shared" si="168"/>
        <v>-982.65329399999996</v>
      </c>
      <c r="K114" s="2">
        <f t="shared" si="181"/>
        <v>65</v>
      </c>
      <c r="L114" s="2">
        <f t="shared" si="169"/>
        <v>984.80073934225413</v>
      </c>
      <c r="M114" s="2">
        <f t="shared" si="182"/>
        <v>6.6147440197763183E-2</v>
      </c>
      <c r="N114" s="2">
        <f t="shared" si="183"/>
        <v>3.7844559658161372</v>
      </c>
      <c r="P114" s="4">
        <f t="shared" si="184"/>
        <v>1.1918518636898858</v>
      </c>
      <c r="Q114" s="4">
        <f t="shared" si="170"/>
        <v>1.7000000000000002</v>
      </c>
      <c r="R114" s="4">
        <f t="shared" si="171"/>
        <v>1.7262375342400999E-3</v>
      </c>
      <c r="S114" s="4">
        <f t="shared" si="172"/>
        <v>0.61608576198424669</v>
      </c>
      <c r="T114" s="2">
        <f t="shared" si="173"/>
        <v>1004.3435484280518</v>
      </c>
      <c r="U114" s="6">
        <f t="shared" si="174"/>
        <v>0.60409778591193475</v>
      </c>
      <c r="V114" s="4">
        <f t="shared" si="175"/>
        <v>0.50685643435728023</v>
      </c>
      <c r="W114" s="4">
        <f t="shared" si="176"/>
        <v>0.91058446394348802</v>
      </c>
      <c r="X114" s="3">
        <f t="shared" si="177"/>
        <v>19.0905833698293</v>
      </c>
      <c r="Y114" s="8">
        <f t="shared" si="185"/>
        <v>1.2600395891941454</v>
      </c>
      <c r="Z114" s="3">
        <f t="shared" si="186"/>
        <v>19.048954659877442</v>
      </c>
      <c r="AA114" s="3">
        <f t="shared" si="178"/>
        <v>18800.420617082837</v>
      </c>
      <c r="AB114" s="3"/>
      <c r="AC114" s="3"/>
      <c r="AD114" s="3"/>
    </row>
    <row r="115" spans="1:30" hidden="1">
      <c r="A115" s="7">
        <f t="shared" si="188"/>
        <v>490</v>
      </c>
      <c r="B115" s="3">
        <f t="shared" si="188"/>
        <v>614.65329399999996</v>
      </c>
      <c r="D115" s="1">
        <f t="shared" si="187"/>
        <v>110</v>
      </c>
      <c r="E115" s="2">
        <f t="shared" ref="E115:F119" si="189">E114</f>
        <v>10</v>
      </c>
      <c r="F115" s="2">
        <f t="shared" si="189"/>
        <v>10</v>
      </c>
      <c r="G115" s="2">
        <f t="shared" si="166"/>
        <v>7.0710678118654746</v>
      </c>
      <c r="H115" s="2">
        <f t="shared" si="180"/>
        <v>-368</v>
      </c>
      <c r="I115" s="2">
        <f t="shared" si="167"/>
        <v>55</v>
      </c>
      <c r="J115" s="20">
        <f t="shared" si="168"/>
        <v>-982.65329399999996</v>
      </c>
      <c r="K115" s="2">
        <f t="shared" si="181"/>
        <v>55</v>
      </c>
      <c r="L115" s="2">
        <f t="shared" si="169"/>
        <v>984.19129045579871</v>
      </c>
      <c r="M115" s="2">
        <f t="shared" si="182"/>
        <v>5.5970910936568849E-2</v>
      </c>
      <c r="N115" s="2">
        <f t="shared" si="183"/>
        <v>3.2035544581218405</v>
      </c>
      <c r="P115" s="4">
        <f t="shared" si="184"/>
        <v>1.2329068139320554</v>
      </c>
      <c r="Q115" s="4">
        <f t="shared" si="170"/>
        <v>1.7000000000000002</v>
      </c>
      <c r="R115" s="4">
        <f t="shared" si="171"/>
        <v>1.7273064865395182E-3</v>
      </c>
      <c r="S115" s="4">
        <f t="shared" si="172"/>
        <v>0.61608576198424669</v>
      </c>
      <c r="T115" s="2">
        <f t="shared" si="173"/>
        <v>1004.3435484280518</v>
      </c>
      <c r="U115" s="6">
        <f t="shared" si="174"/>
        <v>0.60372393696135407</v>
      </c>
      <c r="V115" s="4">
        <f t="shared" si="175"/>
        <v>0.4896752375274202</v>
      </c>
      <c r="W115" s="4">
        <f t="shared" si="176"/>
        <v>0.90409720959786788</v>
      </c>
      <c r="X115" s="3">
        <f t="shared" si="177"/>
        <v>18.919370785689768</v>
      </c>
      <c r="Y115" s="8">
        <f t="shared" si="185"/>
        <v>1.0572796196266181</v>
      </c>
      <c r="Z115" s="3">
        <f t="shared" si="186"/>
        <v>18.889805471002969</v>
      </c>
      <c r="AA115" s="3">
        <f t="shared" si="178"/>
        <v>18620.279948179752</v>
      </c>
      <c r="AB115" s="3"/>
      <c r="AC115" s="3"/>
      <c r="AD115" s="3"/>
    </row>
    <row r="116" spans="1:30" hidden="1">
      <c r="A116" s="7">
        <f t="shared" si="188"/>
        <v>490</v>
      </c>
      <c r="B116" s="3">
        <f t="shared" si="188"/>
        <v>614.65329399999996</v>
      </c>
      <c r="D116" s="1">
        <f t="shared" si="187"/>
        <v>111</v>
      </c>
      <c r="E116" s="2">
        <f t="shared" si="189"/>
        <v>10</v>
      </c>
      <c r="F116" s="2">
        <f t="shared" si="189"/>
        <v>10</v>
      </c>
      <c r="G116" s="2">
        <f t="shared" si="166"/>
        <v>7.0710678118654746</v>
      </c>
      <c r="H116" s="2">
        <f t="shared" si="180"/>
        <v>-368</v>
      </c>
      <c r="I116" s="2">
        <f t="shared" si="167"/>
        <v>45</v>
      </c>
      <c r="J116" s="20">
        <f t="shared" si="168"/>
        <v>-982.65329399999996</v>
      </c>
      <c r="K116" s="2">
        <f t="shared" si="181"/>
        <v>45</v>
      </c>
      <c r="L116" s="2">
        <f t="shared" si="169"/>
        <v>983.68312794774033</v>
      </c>
      <c r="M116" s="2">
        <f t="shared" si="182"/>
        <v>4.5794381675374508E-2</v>
      </c>
      <c r="N116" s="2">
        <f t="shared" si="183"/>
        <v>2.6219929366391028</v>
      </c>
      <c r="P116" s="4">
        <f t="shared" si="184"/>
        <v>1.2805629055343992</v>
      </c>
      <c r="Q116" s="4">
        <f t="shared" si="170"/>
        <v>1.7000000000000002</v>
      </c>
      <c r="R116" s="4">
        <f t="shared" si="171"/>
        <v>1.728198798678913E-3</v>
      </c>
      <c r="S116" s="4">
        <f t="shared" si="172"/>
        <v>0.61608576198424669</v>
      </c>
      <c r="T116" s="2">
        <f t="shared" si="173"/>
        <v>1004.3435484280518</v>
      </c>
      <c r="U116" s="6">
        <f t="shared" si="174"/>
        <v>0.60341221923639932</v>
      </c>
      <c r="V116" s="4">
        <f t="shared" si="175"/>
        <v>0.47120857290847873</v>
      </c>
      <c r="W116" s="4">
        <f t="shared" si="176"/>
        <v>0.89677216399392867</v>
      </c>
      <c r="X116" s="3">
        <f t="shared" si="177"/>
        <v>18.734147509725762</v>
      </c>
      <c r="Y116" s="8">
        <f t="shared" si="185"/>
        <v>0.85702053230951303</v>
      </c>
      <c r="Z116" s="3">
        <f t="shared" si="186"/>
        <v>18.714534424435033</v>
      </c>
      <c r="AA116" s="3">
        <f t="shared" si="178"/>
        <v>18428.464821801408</v>
      </c>
      <c r="AB116" s="3"/>
      <c r="AC116" s="3"/>
      <c r="AD116" s="3"/>
    </row>
    <row r="117" spans="1:30" hidden="1">
      <c r="A117" s="7">
        <f t="shared" ref="A117:B119" si="190">A116</f>
        <v>490</v>
      </c>
      <c r="B117" s="3">
        <f t="shared" si="190"/>
        <v>614.65329399999996</v>
      </c>
      <c r="D117" s="1">
        <f t="shared" si="187"/>
        <v>112</v>
      </c>
      <c r="E117" s="2">
        <f t="shared" si="189"/>
        <v>10</v>
      </c>
      <c r="F117" s="2">
        <f t="shared" si="189"/>
        <v>10</v>
      </c>
      <c r="G117" s="2">
        <f>F117/SQRT(2)</f>
        <v>7.0710678118654746</v>
      </c>
      <c r="H117" s="2">
        <f t="shared" si="180"/>
        <v>-368</v>
      </c>
      <c r="I117" s="2">
        <f t="shared" si="167"/>
        <v>35</v>
      </c>
      <c r="J117" s="20">
        <f>H117-B117</f>
        <v>-982.65329399999996</v>
      </c>
      <c r="K117" s="2">
        <f>I117</f>
        <v>35</v>
      </c>
      <c r="L117" s="2">
        <f>SQRT(J117^2+K117^2)</f>
        <v>983.2764088541179</v>
      </c>
      <c r="M117" s="2">
        <f>IF(J117=0,"infinity",ABS(K117/J117))</f>
        <v>3.5617852414180175E-2</v>
      </c>
      <c r="N117" s="2">
        <f>IF(J117=0,90,ATAN(M117)*180/PI())</f>
        <v>2.0398902873212084</v>
      </c>
      <c r="P117" s="4">
        <f>0.209 * (N117+2)^-0.32 * F117</f>
        <v>1.3369280133880324</v>
      </c>
      <c r="Q117" s="4">
        <f>MIN(1.087*(N117+6)^-0.65 * F117, 0.17*F117)</f>
        <v>1.7000000000000002</v>
      </c>
      <c r="R117" s="4">
        <f>Q117/L117</f>
        <v>1.7289136449242502E-3</v>
      </c>
      <c r="S117" s="4">
        <f t="shared" si="172"/>
        <v>0.61608576198424669</v>
      </c>
      <c r="T117" s="2">
        <f t="shared" si="173"/>
        <v>1004.3435484280518</v>
      </c>
      <c r="U117" s="6">
        <f>S117*L117/T117</f>
        <v>0.6031627290663274</v>
      </c>
      <c r="V117" s="4">
        <f>U117/P117</f>
        <v>0.45115572643122137</v>
      </c>
      <c r="W117" s="4">
        <f>POWER(V117*(1.9-0.9*V117),0.3)</f>
        <v>0.88838173251604968</v>
      </c>
      <c r="X117" s="3">
        <f>0.6*A117*G117*E117*(1+0.5*SIN(N117*PI()/180)^1.5)*W117/1000</f>
        <v>18.530528093147741</v>
      </c>
      <c r="Y117" s="8">
        <f>X117*SIN(N117*PI()/180)</f>
        <v>0.6595993531625497</v>
      </c>
      <c r="Z117" s="3">
        <f>X117*COS(N117*PI()/180)</f>
        <v>18.518785060155679</v>
      </c>
      <c r="AA117" s="3">
        <f>L117*X117</f>
        <v>18220.631117600657</v>
      </c>
      <c r="AB117" s="3"/>
      <c r="AC117" s="3"/>
      <c r="AD117" s="3"/>
    </row>
    <row r="118" spans="1:30" hidden="1">
      <c r="A118" s="7">
        <f t="shared" si="190"/>
        <v>490</v>
      </c>
      <c r="B118" s="3">
        <f t="shared" si="190"/>
        <v>614.65329399999996</v>
      </c>
      <c r="D118" s="1">
        <f t="shared" si="187"/>
        <v>113</v>
      </c>
      <c r="E118" s="2">
        <f t="shared" si="189"/>
        <v>10</v>
      </c>
      <c r="F118" s="2">
        <f t="shared" si="189"/>
        <v>10</v>
      </c>
      <c r="G118" s="2">
        <f>F118/SQRT(2)</f>
        <v>7.0710678118654746</v>
      </c>
      <c r="H118" s="2">
        <f t="shared" si="180"/>
        <v>-368</v>
      </c>
      <c r="I118" s="2">
        <f t="shared" si="167"/>
        <v>25</v>
      </c>
      <c r="J118" s="20">
        <f>H118-B118</f>
        <v>-982.65329399999996</v>
      </c>
      <c r="K118" s="2">
        <f>I118</f>
        <v>25</v>
      </c>
      <c r="L118" s="2">
        <f>SQRT(J118^2+K118^2)</f>
        <v>982.97125909613976</v>
      </c>
      <c r="M118" s="2">
        <f>IF(J118=0,"infinity",ABS(K118/J118))</f>
        <v>2.5441323152985841E-2</v>
      </c>
      <c r="N118" s="2">
        <f>IF(J118=0,90,ATAN(M118)*180/PI())</f>
        <v>1.457366064113067</v>
      </c>
      <c r="P118" s="4">
        <f>0.209 * (N118+2)^-0.32 * F118</f>
        <v>1.4052311534043387</v>
      </c>
      <c r="Q118" s="4">
        <f>MIN(1.087*(N118+6)^-0.65 * F118, 0.17*F118)</f>
        <v>1.7000000000000002</v>
      </c>
      <c r="R118" s="4">
        <f>Q118/L118</f>
        <v>1.7294503621226745E-3</v>
      </c>
      <c r="S118" s="4">
        <f t="shared" si="172"/>
        <v>0.61608576198424669</v>
      </c>
      <c r="T118" s="2">
        <f t="shared" si="173"/>
        <v>1004.3435484280518</v>
      </c>
      <c r="U118" s="6">
        <f>S118*L118/T118</f>
        <v>0.60297554369389439</v>
      </c>
      <c r="V118" s="4">
        <f>U118/P118</f>
        <v>0.42909349272047864</v>
      </c>
      <c r="W118" s="4">
        <f>POWER(V118*(1.9-0.9*V118),0.3)</f>
        <v>0.8785925037970832</v>
      </c>
      <c r="X118" s="3">
        <f>0.6*A118*G118*E118*(1+0.5*SIN(N118*PI()/180)^1.5)*W118/1000</f>
        <v>18.302047793783665</v>
      </c>
      <c r="Y118" s="8">
        <f>X118*SIN(N118*PI()/180)</f>
        <v>0.46547769389037719</v>
      </c>
      <c r="Z118" s="3">
        <f>X118*COS(N118*PI()/180)</f>
        <v>18.296127567396113</v>
      </c>
      <c r="AA118" s="3">
        <f>L118*X118</f>
        <v>17990.386963893256</v>
      </c>
      <c r="AB118" s="3"/>
      <c r="AC118" s="3"/>
      <c r="AD118" s="3"/>
    </row>
    <row r="119" spans="1:30" hidden="1">
      <c r="A119" s="7">
        <f t="shared" si="190"/>
        <v>490</v>
      </c>
      <c r="B119" s="3">
        <f t="shared" si="190"/>
        <v>614.65329399999996</v>
      </c>
      <c r="D119" s="1">
        <f t="shared" si="187"/>
        <v>114</v>
      </c>
      <c r="E119" s="2">
        <f t="shared" si="189"/>
        <v>10</v>
      </c>
      <c r="F119" s="2">
        <f t="shared" si="189"/>
        <v>10</v>
      </c>
      <c r="G119" s="2">
        <f>F119/SQRT(2)</f>
        <v>7.0710678118654746</v>
      </c>
      <c r="H119" s="2">
        <f t="shared" si="180"/>
        <v>-368</v>
      </c>
      <c r="I119" s="2">
        <f t="shared" si="167"/>
        <v>15</v>
      </c>
      <c r="J119" s="20">
        <f>H119-B119</f>
        <v>-982.65329399999996</v>
      </c>
      <c r="K119" s="2">
        <f>I119</f>
        <v>15</v>
      </c>
      <c r="L119" s="2">
        <f>SQRT(J119^2+K119^2)</f>
        <v>982.76777328575974</v>
      </c>
      <c r="M119" s="2">
        <f>IF(J119=0,"infinity",ABS(K119/J119))</f>
        <v>1.5264793891791504E-2</v>
      </c>
      <c r="N119" s="2">
        <f>IF(J119=0,90,ATAN(M119)*180/PI())</f>
        <v>0.87454034266217262</v>
      </c>
      <c r="P119" s="4">
        <f>0.209 * (N119+2)^-0.32 * F119</f>
        <v>1.4907485497192119</v>
      </c>
      <c r="Q119" s="4">
        <f>MIN(1.087*(N119+6)^-0.65 * F119, 0.17*F119)</f>
        <v>1.7000000000000002</v>
      </c>
      <c r="R119" s="4">
        <f>Q119/L119</f>
        <v>1.729808451406852E-3</v>
      </c>
      <c r="S119" s="4">
        <f t="shared" si="172"/>
        <v>0.61608576198424669</v>
      </c>
      <c r="T119" s="2">
        <f t="shared" si="173"/>
        <v>1004.3435484280518</v>
      </c>
      <c r="U119" s="6">
        <f>S119*L119/T119</f>
        <v>0.60285072115609128</v>
      </c>
      <c r="V119" s="4">
        <f>U119/P119</f>
        <v>0.40439463869989373</v>
      </c>
      <c r="W119" s="4">
        <f>POWER(V119*(1.9-0.9*V119),0.3)</f>
        <v>0.86688758565677404</v>
      </c>
      <c r="X119" s="3">
        <f>0.6*A119*G119*E119*(1+0.5*SIN(N119*PI()/180)^1.5)*W119/1000</f>
        <v>18.038664718608466</v>
      </c>
      <c r="Y119" s="8">
        <f>X119*SIN(N119*PI()/180)</f>
        <v>0.27532442366773696</v>
      </c>
      <c r="Z119" s="3">
        <f>X119*COS(N119*PI()/180)</f>
        <v>18.036563455716887</v>
      </c>
      <c r="AA119" s="3">
        <f>L119*X119</f>
        <v>17727.81835855524</v>
      </c>
      <c r="AB119" s="3"/>
      <c r="AC119" s="3"/>
      <c r="AD119" s="3"/>
    </row>
    <row r="120" spans="1:30" hidden="1">
      <c r="A120" s="7">
        <f>A119</f>
        <v>490</v>
      </c>
      <c r="B120" s="3">
        <f>B119</f>
        <v>614.65329399999996</v>
      </c>
      <c r="D120" s="1">
        <f t="shared" si="187"/>
        <v>115</v>
      </c>
      <c r="E120" s="2">
        <f>E119</f>
        <v>10</v>
      </c>
      <c r="F120" s="2">
        <f>F119</f>
        <v>10</v>
      </c>
      <c r="G120" s="2">
        <f>F120/SQRT(2)</f>
        <v>7.0710678118654746</v>
      </c>
      <c r="H120" s="2">
        <f t="shared" si="180"/>
        <v>-368</v>
      </c>
      <c r="I120" s="2">
        <f t="shared" si="167"/>
        <v>5</v>
      </c>
      <c r="J120" s="20">
        <f>H120-B120</f>
        <v>-982.65329399999996</v>
      </c>
      <c r="K120" s="2">
        <f>I120</f>
        <v>5</v>
      </c>
      <c r="L120" s="2">
        <f>SQRT(J120^2+K120^2)</f>
        <v>982.66601457924162</v>
      </c>
      <c r="M120" s="2">
        <f>IF(J120=0,"infinity",ABS(K120/J120))</f>
        <v>5.0882646305971677E-3</v>
      </c>
      <c r="N120" s="2">
        <f>IF(J120=0,90,ATAN(M120)*180/PI())</f>
        <v>0.291533572419089</v>
      </c>
      <c r="P120" s="4">
        <f>0.209 * (N120+2)^-0.32 * F120</f>
        <v>1.6028980269922868</v>
      </c>
      <c r="Q120" s="4">
        <f>MIN(1.087*(N120+6)^-0.65 * F120, 0.17*F120)</f>
        <v>1.7000000000000002</v>
      </c>
      <c r="R120" s="4">
        <f>Q120/L120</f>
        <v>1.7299875794808137E-3</v>
      </c>
      <c r="S120" s="4">
        <f t="shared" si="172"/>
        <v>0.61608576198424669</v>
      </c>
      <c r="T120" s="2">
        <f t="shared" si="173"/>
        <v>1004.3435484280518</v>
      </c>
      <c r="U120" s="6">
        <f>S120*L120/T120</f>
        <v>0.60278830019431795</v>
      </c>
      <c r="V120" s="4">
        <f>U120/P120</f>
        <v>0.37606153981323642</v>
      </c>
      <c r="W120" s="4">
        <f>POWER(V120*(1.9-0.9*V120),0.3)</f>
        <v>0.85240108730757103</v>
      </c>
      <c r="X120" s="3">
        <f>0.6*A120*G120*E120*(1+0.5*SIN(N120*PI()/180)^1.5)*W120/1000</f>
        <v>17.723730345502808</v>
      </c>
      <c r="Y120" s="8">
        <f>X120*SIN(N120*PI()/180)</f>
        <v>9.0181862822903067E-2</v>
      </c>
      <c r="Z120" s="3">
        <f>X120*COS(N120*PI()/180)</f>
        <v>17.723500912396368</v>
      </c>
      <c r="AA120" s="3">
        <f>L120*X120</f>
        <v>17416.50746209241</v>
      </c>
      <c r="AB120" s="3"/>
      <c r="AC120" s="3"/>
      <c r="AD120" s="3"/>
    </row>
    <row r="121" spans="1:30" hidden="1">
      <c r="A121" s="7"/>
      <c r="B121" s="3"/>
      <c r="D121" s="1"/>
      <c r="E121" s="2"/>
      <c r="F121" s="2"/>
      <c r="G121" s="2"/>
      <c r="H121" s="2"/>
      <c r="I121" s="2"/>
      <c r="J121" s="20"/>
      <c r="K121" s="2"/>
      <c r="L121" s="2"/>
      <c r="M121" s="2"/>
      <c r="N121" s="2"/>
      <c r="P121" s="4"/>
      <c r="Q121" s="4"/>
      <c r="R121" s="4"/>
      <c r="S121" s="4"/>
      <c r="T121" s="2"/>
      <c r="U121" s="6"/>
      <c r="V121" s="4"/>
      <c r="W121" s="4"/>
      <c r="X121" s="3"/>
      <c r="Y121" s="8"/>
      <c r="Z121" s="3"/>
      <c r="AA121" s="3"/>
      <c r="AB121" s="3"/>
      <c r="AC121" s="3"/>
      <c r="AD121" s="3"/>
    </row>
    <row r="122" spans="1:30" hidden="1">
      <c r="A122" s="7"/>
      <c r="B122" s="3"/>
      <c r="D122" s="1"/>
      <c r="E122" s="2"/>
      <c r="F122" s="2"/>
      <c r="G122" s="2"/>
      <c r="H122" s="2"/>
      <c r="I122" s="2"/>
      <c r="J122" s="20"/>
      <c r="K122" s="2"/>
      <c r="L122" s="2"/>
      <c r="M122" s="2"/>
      <c r="N122" s="2"/>
      <c r="P122" s="4"/>
      <c r="Q122" s="4"/>
      <c r="R122" s="4"/>
      <c r="S122" s="4"/>
      <c r="T122" s="2"/>
      <c r="U122" s="6"/>
      <c r="V122" s="4"/>
      <c r="W122" s="4"/>
      <c r="X122" s="3"/>
      <c r="Y122" s="8"/>
      <c r="Z122" s="3"/>
      <c r="AA122" s="3"/>
      <c r="AB122" s="3"/>
      <c r="AC122" s="3"/>
      <c r="AD122" s="3"/>
    </row>
    <row r="123" spans="1:30" hidden="1">
      <c r="A123" s="7"/>
      <c r="B123" s="3"/>
      <c r="D123" s="1"/>
      <c r="E123" s="2"/>
      <c r="F123" s="2"/>
      <c r="G123" s="2"/>
      <c r="H123" s="2"/>
      <c r="I123" s="2"/>
      <c r="J123" s="20"/>
      <c r="K123" s="2"/>
      <c r="L123" s="2"/>
      <c r="M123" s="2"/>
      <c r="N123" s="2"/>
      <c r="P123" s="4"/>
      <c r="Q123" s="4"/>
      <c r="R123" s="4"/>
      <c r="S123" s="4"/>
      <c r="T123" s="2"/>
      <c r="U123" s="6"/>
      <c r="V123" s="4"/>
      <c r="W123" s="4"/>
      <c r="X123" s="3"/>
      <c r="Y123" s="8"/>
      <c r="Z123" s="3"/>
      <c r="AA123" s="3"/>
      <c r="AB123" s="3"/>
      <c r="AC123" s="3"/>
      <c r="AD123" s="3"/>
    </row>
    <row r="124" spans="1:30" hidden="1">
      <c r="A124" s="7"/>
      <c r="B124" s="3"/>
      <c r="D124" s="1"/>
      <c r="E124" s="2"/>
      <c r="F124" s="2"/>
      <c r="G124" s="2"/>
      <c r="H124" s="2"/>
      <c r="I124" s="2"/>
      <c r="J124" s="20"/>
      <c r="K124" s="2"/>
      <c r="L124" s="2"/>
      <c r="M124" s="2"/>
      <c r="N124" s="2"/>
      <c r="P124" s="4"/>
      <c r="Q124" s="4"/>
      <c r="R124" s="4"/>
      <c r="S124" s="4"/>
      <c r="T124" s="2"/>
      <c r="U124" s="6"/>
      <c r="V124" s="4"/>
      <c r="W124" s="4"/>
      <c r="X124" s="3"/>
      <c r="Y124" s="8"/>
      <c r="Z124" s="3"/>
      <c r="AA124" s="3"/>
      <c r="AB124" s="3"/>
      <c r="AC124" s="3"/>
      <c r="AD124" s="3"/>
    </row>
    <row r="125" spans="1:30" hidden="1">
      <c r="A125" s="7"/>
      <c r="B125" s="3"/>
      <c r="D125" s="1"/>
      <c r="E125" s="2"/>
      <c r="F125" s="2"/>
      <c r="G125" s="2"/>
      <c r="H125" s="2"/>
      <c r="I125" s="2"/>
      <c r="J125" s="20"/>
      <c r="K125" s="2"/>
      <c r="L125" s="2"/>
      <c r="M125" s="2"/>
      <c r="N125" s="2"/>
      <c r="P125" s="4"/>
      <c r="Q125" s="4"/>
      <c r="R125" s="4"/>
      <c r="S125" s="4"/>
      <c r="T125" s="2"/>
      <c r="U125" s="6"/>
      <c r="V125" s="4"/>
      <c r="W125" s="4"/>
      <c r="X125" s="3"/>
      <c r="Y125" s="8"/>
      <c r="Z125" s="3"/>
      <c r="AA125" s="3"/>
      <c r="AB125" s="3"/>
      <c r="AC125" s="3"/>
      <c r="AD125" s="3"/>
    </row>
    <row r="126" spans="1:30" hidden="1">
      <c r="A126" s="7"/>
      <c r="B126" s="3"/>
      <c r="D126" s="1"/>
      <c r="E126" s="2"/>
      <c r="F126" s="2"/>
      <c r="G126" s="2"/>
      <c r="H126" s="2"/>
      <c r="I126" s="2"/>
      <c r="J126" s="20"/>
      <c r="K126" s="2"/>
      <c r="L126" s="2"/>
      <c r="M126" s="2"/>
      <c r="N126" s="2"/>
      <c r="P126" s="4"/>
      <c r="Q126" s="4"/>
      <c r="R126" s="4"/>
      <c r="S126" s="4"/>
      <c r="T126" s="2"/>
      <c r="U126" s="6"/>
      <c r="V126" s="4"/>
      <c r="W126" s="4"/>
      <c r="X126" s="3"/>
      <c r="Y126" s="8"/>
      <c r="Z126" s="3"/>
      <c r="AA126" s="3"/>
      <c r="AB126" s="3"/>
      <c r="AC126" s="3"/>
      <c r="AD126" s="3"/>
    </row>
    <row r="127" spans="1:30" hidden="1">
      <c r="A127" s="7"/>
      <c r="B127" s="3"/>
      <c r="D127" s="1"/>
      <c r="E127" s="2"/>
      <c r="F127" s="2"/>
      <c r="G127" s="2"/>
      <c r="H127" s="2"/>
      <c r="I127" s="2"/>
      <c r="J127" s="20"/>
      <c r="K127" s="2"/>
      <c r="L127" s="2"/>
      <c r="M127" s="2"/>
      <c r="N127" s="2"/>
      <c r="P127" s="4"/>
      <c r="Q127" s="4"/>
      <c r="R127" s="4"/>
      <c r="S127" s="4"/>
      <c r="T127" s="2"/>
      <c r="U127" s="6"/>
      <c r="V127" s="4"/>
      <c r="W127" s="4"/>
      <c r="X127" s="3"/>
      <c r="Y127" s="8"/>
      <c r="Z127" s="3"/>
      <c r="AA127" s="3"/>
      <c r="AB127" s="3"/>
      <c r="AC127" s="3"/>
      <c r="AD127" s="3"/>
    </row>
    <row r="128" spans="1:30" hidden="1">
      <c r="A128" s="7"/>
      <c r="B128" s="3"/>
      <c r="D128" s="1"/>
      <c r="E128" s="2"/>
      <c r="F128" s="2"/>
      <c r="G128" s="2"/>
      <c r="H128" s="2"/>
      <c r="I128" s="2"/>
      <c r="J128" s="20"/>
      <c r="K128" s="2"/>
      <c r="L128" s="2"/>
      <c r="M128" s="2"/>
      <c r="N128" s="2"/>
      <c r="P128" s="4"/>
      <c r="Q128" s="4"/>
      <c r="R128" s="4"/>
      <c r="S128" s="4"/>
      <c r="T128" s="2"/>
      <c r="U128" s="6"/>
      <c r="V128" s="4"/>
      <c r="W128" s="4"/>
      <c r="X128" s="3"/>
      <c r="Y128" s="8"/>
      <c r="Z128" s="3"/>
      <c r="AA128" s="3"/>
      <c r="AB128" s="3"/>
      <c r="AC128" s="3"/>
      <c r="AD128" s="3"/>
    </row>
    <row r="129" spans="1:31" hidden="1">
      <c r="A129" s="7"/>
      <c r="B129" s="3"/>
      <c r="D129" s="1"/>
      <c r="E129" s="2"/>
      <c r="F129" s="2"/>
      <c r="G129" s="2"/>
      <c r="H129" s="2"/>
      <c r="I129" s="2"/>
      <c r="J129" s="20"/>
      <c r="K129" s="2"/>
      <c r="L129" s="2"/>
      <c r="M129" s="2"/>
      <c r="N129" s="2"/>
      <c r="P129" s="4"/>
      <c r="Q129" s="4"/>
      <c r="R129" s="4"/>
      <c r="S129" s="4"/>
      <c r="T129" s="2"/>
      <c r="U129" s="6"/>
      <c r="V129" s="4"/>
      <c r="W129" s="4"/>
      <c r="X129" s="3"/>
      <c r="Y129" s="8"/>
      <c r="Z129" s="3"/>
      <c r="AA129" s="3"/>
      <c r="AB129" s="3"/>
      <c r="AC129" s="3"/>
      <c r="AD129" s="3"/>
    </row>
    <row r="130" spans="1:31" hidden="1">
      <c r="A130" s="7"/>
      <c r="B130" s="3"/>
      <c r="D130" s="1"/>
      <c r="E130" s="2"/>
      <c r="F130" s="2"/>
      <c r="G130" s="2"/>
      <c r="H130" s="2"/>
      <c r="I130" s="2"/>
      <c r="J130" s="20"/>
      <c r="K130" s="2"/>
      <c r="L130" s="2"/>
      <c r="M130" s="2"/>
      <c r="N130" s="2"/>
      <c r="P130" s="4"/>
      <c r="Q130" s="4"/>
      <c r="R130" s="4"/>
      <c r="S130" s="4"/>
      <c r="T130" s="2"/>
      <c r="U130" s="6"/>
      <c r="V130" s="4"/>
      <c r="W130" s="4"/>
      <c r="X130" s="3"/>
      <c r="Y130" s="8"/>
      <c r="Z130" s="3"/>
      <c r="AA130" s="3"/>
      <c r="AB130" s="3"/>
      <c r="AC130" s="3"/>
      <c r="AD130" s="3"/>
    </row>
    <row r="131" spans="1:31" hidden="1">
      <c r="A131" s="7"/>
      <c r="B131" s="3"/>
      <c r="D131" s="1"/>
      <c r="E131" s="2"/>
      <c r="F131" s="2"/>
      <c r="G131" s="2"/>
      <c r="H131" s="2"/>
      <c r="I131" s="2"/>
      <c r="J131" s="20"/>
      <c r="K131" s="2"/>
      <c r="L131" s="2"/>
      <c r="M131" s="2"/>
      <c r="N131" s="2"/>
      <c r="P131" s="4"/>
      <c r="Q131" s="4"/>
      <c r="R131" s="4"/>
      <c r="S131" s="4"/>
      <c r="T131" s="2"/>
      <c r="U131" s="6"/>
      <c r="V131" s="4"/>
      <c r="W131" s="4"/>
      <c r="X131" s="3"/>
      <c r="Y131" s="8"/>
      <c r="Z131" s="3"/>
      <c r="AA131" s="3"/>
      <c r="AB131" s="3"/>
      <c r="AC131" s="3"/>
      <c r="AD131" s="3"/>
    </row>
    <row r="132" spans="1:31" hidden="1">
      <c r="A132" s="7"/>
      <c r="B132" s="3"/>
      <c r="D132" s="1"/>
      <c r="E132" s="2"/>
      <c r="F132" s="2"/>
      <c r="G132" s="2"/>
      <c r="H132" s="2"/>
      <c r="I132" s="2"/>
      <c r="J132" s="20"/>
      <c r="K132" s="2"/>
      <c r="L132" s="2"/>
      <c r="M132" s="2"/>
      <c r="N132" s="2"/>
      <c r="P132" s="4"/>
      <c r="Q132" s="4"/>
      <c r="R132" s="4"/>
      <c r="S132" s="4"/>
      <c r="T132" s="2"/>
      <c r="U132" s="6"/>
      <c r="V132" s="4"/>
      <c r="W132" s="4"/>
      <c r="X132" s="3"/>
      <c r="Y132" s="8"/>
      <c r="Z132" s="3"/>
      <c r="AA132" s="3"/>
      <c r="AB132" s="3"/>
      <c r="AC132" s="3"/>
      <c r="AD132" s="3"/>
    </row>
    <row r="133" spans="1:31" hidden="1">
      <c r="A133" s="7"/>
      <c r="B133" s="3"/>
      <c r="D133" s="1"/>
      <c r="E133" s="2"/>
      <c r="F133" s="2"/>
      <c r="G133" s="2"/>
      <c r="H133" s="2"/>
      <c r="I133" s="2"/>
      <c r="J133" s="20"/>
      <c r="K133" s="2"/>
      <c r="L133" s="2"/>
      <c r="M133" s="2"/>
      <c r="N133" s="2"/>
      <c r="P133" s="4"/>
      <c r="Q133" s="4"/>
      <c r="R133" s="4"/>
      <c r="S133" s="4"/>
      <c r="T133" s="2"/>
      <c r="U133" s="6"/>
      <c r="V133" s="4"/>
      <c r="W133" s="4"/>
      <c r="X133" s="3"/>
      <c r="Y133" s="8"/>
      <c r="Z133" s="3"/>
      <c r="AA133" s="3"/>
      <c r="AB133" s="3"/>
      <c r="AC133" s="3"/>
      <c r="AD133" s="3"/>
    </row>
    <row r="134" spans="1:31" hidden="1">
      <c r="A134" s="7"/>
      <c r="B134" s="3"/>
      <c r="D134" s="1"/>
      <c r="E134" s="2"/>
      <c r="F134" s="2"/>
      <c r="G134" s="2"/>
      <c r="H134" s="2"/>
      <c r="I134" s="2"/>
      <c r="J134" s="20"/>
      <c r="K134" s="2"/>
      <c r="L134" s="2"/>
      <c r="M134" s="2"/>
      <c r="N134" s="2"/>
      <c r="P134" s="4"/>
      <c r="Q134" s="4"/>
      <c r="R134" s="4"/>
      <c r="S134" s="4"/>
      <c r="T134" s="2"/>
      <c r="U134" s="6"/>
      <c r="V134" s="4"/>
      <c r="W134" s="4"/>
      <c r="X134" s="3"/>
      <c r="Y134" s="8"/>
      <c r="Z134" s="3"/>
      <c r="AA134" s="3"/>
      <c r="AB134" s="3"/>
      <c r="AC134" s="3"/>
      <c r="AD134" s="3"/>
    </row>
    <row r="135" spans="1:31" hidden="1">
      <c r="A135" s="7"/>
      <c r="B135" s="3"/>
      <c r="D135" s="1"/>
      <c r="E135" s="2"/>
      <c r="F135" s="2"/>
      <c r="G135" s="2"/>
      <c r="H135" s="2"/>
      <c r="I135" s="2"/>
      <c r="J135" s="20"/>
      <c r="K135" s="2"/>
      <c r="L135" s="2"/>
      <c r="M135" s="2"/>
      <c r="N135" s="2"/>
      <c r="P135" s="4"/>
      <c r="Q135" s="4"/>
      <c r="R135" s="4"/>
      <c r="S135" s="4"/>
      <c r="T135" s="2"/>
      <c r="U135" s="6"/>
      <c r="V135" s="4"/>
      <c r="W135" s="4"/>
      <c r="X135" s="3"/>
      <c r="Y135" s="8"/>
      <c r="Z135" s="3"/>
      <c r="AA135" s="3"/>
      <c r="AB135" s="3"/>
      <c r="AC135" s="3"/>
      <c r="AD135" s="3"/>
    </row>
    <row r="136" spans="1:31" hidden="1">
      <c r="A136" s="7"/>
      <c r="B136" s="3"/>
      <c r="D136" s="1"/>
      <c r="E136" s="2"/>
      <c r="F136" s="2"/>
      <c r="G136" s="2"/>
      <c r="H136" s="2"/>
      <c r="I136" s="2"/>
      <c r="J136" s="20"/>
      <c r="K136" s="2"/>
      <c r="L136" s="2"/>
      <c r="M136" s="2"/>
      <c r="N136" s="2"/>
      <c r="P136" s="4"/>
      <c r="Q136" s="4"/>
      <c r="R136" s="4"/>
      <c r="S136" s="4"/>
      <c r="T136" s="2"/>
      <c r="U136" s="6"/>
      <c r="V136" s="4"/>
      <c r="W136" s="4"/>
      <c r="X136" s="3"/>
      <c r="Y136" s="8"/>
      <c r="Z136" s="3"/>
      <c r="AA136" s="3"/>
      <c r="AB136" s="3"/>
      <c r="AC136" s="3"/>
      <c r="AD136" s="3"/>
    </row>
    <row r="137" spans="1:31" hidden="1">
      <c r="A137" s="7"/>
      <c r="B137" s="3"/>
      <c r="D137" s="1"/>
      <c r="E137" s="2"/>
      <c r="F137" s="2"/>
      <c r="G137" s="2"/>
      <c r="H137" s="2"/>
      <c r="I137" s="2"/>
      <c r="J137" s="20"/>
      <c r="K137" s="2"/>
      <c r="L137" s="2"/>
      <c r="M137" s="2"/>
      <c r="N137" s="2"/>
      <c r="P137" s="4"/>
      <c r="Q137" s="4"/>
      <c r="R137" s="4"/>
      <c r="S137" s="4"/>
      <c r="T137" s="2"/>
      <c r="U137" s="6"/>
      <c r="V137" s="4"/>
      <c r="W137" s="4"/>
      <c r="X137" s="3"/>
      <c r="Y137" s="8"/>
      <c r="Z137" s="3"/>
      <c r="AA137" s="3"/>
      <c r="AB137" s="3"/>
      <c r="AC137" s="3"/>
      <c r="AD137" s="3"/>
    </row>
    <row r="138" spans="1:31" hidden="1">
      <c r="A138" s="7"/>
      <c r="B138" s="3"/>
      <c r="D138" s="1"/>
      <c r="E138" s="2"/>
      <c r="F138" s="2"/>
      <c r="G138" s="2"/>
      <c r="H138" s="2"/>
      <c r="I138" s="2"/>
      <c r="J138" s="20"/>
      <c r="K138" s="2"/>
      <c r="L138" s="2"/>
      <c r="M138" s="2"/>
      <c r="N138" s="2"/>
      <c r="P138" s="4"/>
      <c r="Q138" s="4"/>
      <c r="R138" s="4"/>
      <c r="S138" s="4"/>
      <c r="T138" s="2"/>
      <c r="U138" s="6"/>
      <c r="V138" s="4"/>
      <c r="W138" s="4"/>
      <c r="X138" s="3"/>
      <c r="Y138" s="8"/>
      <c r="Z138" s="3"/>
      <c r="AA138" s="3"/>
      <c r="AB138" s="3"/>
      <c r="AC138" s="3"/>
      <c r="AD138" s="3"/>
    </row>
    <row r="139" spans="1:31" hidden="1">
      <c r="A139" s="7"/>
      <c r="B139" s="3"/>
      <c r="D139" s="1"/>
      <c r="E139" s="2"/>
      <c r="F139" s="2"/>
      <c r="G139" s="2"/>
      <c r="H139" s="2"/>
      <c r="I139" s="2"/>
      <c r="J139" s="20"/>
      <c r="K139" s="2"/>
      <c r="L139" s="2"/>
      <c r="M139" s="2"/>
      <c r="N139" s="2"/>
      <c r="P139" s="4"/>
      <c r="Q139" s="4"/>
      <c r="R139" s="4"/>
      <c r="S139" s="4"/>
      <c r="T139" s="2"/>
      <c r="U139" s="6"/>
      <c r="V139" s="4"/>
      <c r="W139" s="4"/>
      <c r="X139" s="3"/>
      <c r="Y139" s="8"/>
      <c r="Z139" s="3"/>
      <c r="AA139" s="3"/>
      <c r="AB139" s="3"/>
      <c r="AC139" s="3"/>
      <c r="AD139" s="3"/>
    </row>
    <row r="140" spans="1:31" hidden="1">
      <c r="A140" s="7"/>
      <c r="B140" s="3"/>
      <c r="D140" s="1"/>
      <c r="E140" s="2"/>
      <c r="F140" s="2"/>
      <c r="G140" s="2"/>
      <c r="H140" s="2"/>
      <c r="I140" s="2"/>
      <c r="J140" s="20"/>
      <c r="K140" s="2"/>
      <c r="L140" s="2"/>
      <c r="M140" s="2"/>
      <c r="N140" s="2"/>
      <c r="P140" s="4"/>
      <c r="Q140" s="4"/>
      <c r="R140" s="4"/>
      <c r="S140" s="4"/>
      <c r="T140" s="2"/>
      <c r="U140" s="6"/>
      <c r="V140" s="4"/>
      <c r="W140" s="4"/>
      <c r="X140" s="3"/>
      <c r="Y140" s="8"/>
      <c r="Z140" s="3"/>
      <c r="AA140" s="3"/>
      <c r="AB140" s="3"/>
      <c r="AC140" s="3"/>
      <c r="AD140" s="3"/>
    </row>
    <row r="141" spans="1:31"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X141" s="14" t="s">
        <v>26</v>
      </c>
      <c r="Y141" s="9">
        <f>ABS(SUM(Y3:Y140))</f>
        <v>1131.8195164292472</v>
      </c>
      <c r="Z141" s="19">
        <f>SUM(Z3:Z140)</f>
        <v>2577.244613410468</v>
      </c>
      <c r="AA141" s="10">
        <f>SUM(AA3:AA140)</f>
        <v>1972485.6892114836</v>
      </c>
      <c r="AB141" s="3"/>
      <c r="AC141" s="3"/>
      <c r="AD141" s="3"/>
      <c r="AE141" s="15"/>
    </row>
    <row r="142" spans="1:31" ht="23.25" customHeight="1"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R142" s="5"/>
      <c r="X142" s="14" t="s">
        <v>25</v>
      </c>
      <c r="Y142" s="3">
        <f>0.75*Y141</f>
        <v>848.86463732193533</v>
      </c>
      <c r="Z142" s="17">
        <f>0.75*Z141</f>
        <v>1932.9334600578509</v>
      </c>
      <c r="AA142" s="18">
        <f>AA141/AB98</f>
        <v>2577.2446314173899</v>
      </c>
      <c r="AB142" s="16" t="str">
        <f>IF(ABS(Z141-AA142)&lt;0.1,"balanced ro = "&amp;B3, "NG")</f>
        <v>balanced ro = 614.653294</v>
      </c>
      <c r="AC142" s="3"/>
    </row>
    <row r="143" spans="1:31"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Z143" s="2"/>
      <c r="AA143" s="15"/>
    </row>
    <row r="144" spans="1:31"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</row>
  </sheetData>
  <phoneticPr fontId="1" type="noConversion"/>
  <conditionalFormatting sqref="F3:F95">
    <cfRule type="expression" dxfId="362" priority="163">
      <formula>ABS($Z$142-$AC$99)&lt;0.001</formula>
    </cfRule>
  </conditionalFormatting>
  <conditionalFormatting sqref="B3">
    <cfRule type="expression" dxfId="361" priority="8">
      <formula>ABS($Z$141-$AA$142)&lt;0.001</formula>
    </cfRule>
  </conditionalFormatting>
  <conditionalFormatting sqref="R1:R140">
    <cfRule type="cellIs" dxfId="360" priority="211" operator="equal">
      <formula>MIN($R$3:$R$140)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63"/>
  <sheetViews>
    <sheetView zoomScale="85" zoomScaleNormal="85" workbookViewId="0">
      <selection activeCell="L15" sqref="L15"/>
    </sheetView>
  </sheetViews>
  <sheetFormatPr defaultRowHeight="16.5"/>
  <cols>
    <col min="1" max="2" width="9" customWidth="1"/>
    <col min="3" max="3" width="2.375" customWidth="1"/>
    <col min="8" max="8" width="8.875" hidden="1" customWidth="1"/>
    <col min="9" max="9" width="0" hidden="1" customWidth="1"/>
    <col min="10" max="10" width="8.875" customWidth="1"/>
    <col min="15" max="15" width="2.375" customWidth="1"/>
    <col min="16" max="17" width="9.375" bestFit="1" customWidth="1"/>
    <col min="18" max="18" width="10.375" bestFit="1" customWidth="1"/>
    <col min="19" max="20" width="9.375" customWidth="1"/>
    <col min="21" max="23" width="9.375" bestFit="1" customWidth="1"/>
    <col min="24" max="26" width="10.25" customWidth="1"/>
    <col min="27" max="27" width="15" customWidth="1"/>
    <col min="28" max="28" width="10.25" customWidth="1"/>
    <col min="29" max="29" width="13.75" customWidth="1"/>
    <col min="30" max="30" width="13.625" bestFit="1" customWidth="1"/>
    <col min="31" max="31" width="13.375" bestFit="1" customWidth="1"/>
  </cols>
  <sheetData>
    <row r="1" spans="1:30" ht="22.5" customHeight="1">
      <c r="A1" s="11" t="s">
        <v>28</v>
      </c>
      <c r="B1" s="11" t="s">
        <v>37</v>
      </c>
      <c r="C1" s="12"/>
      <c r="D1" s="13" t="s">
        <v>1</v>
      </c>
      <c r="E1" s="11" t="s">
        <v>21</v>
      </c>
      <c r="F1" s="13" t="s">
        <v>2</v>
      </c>
      <c r="G1" s="13" t="s">
        <v>3</v>
      </c>
      <c r="H1" s="13" t="s">
        <v>38</v>
      </c>
      <c r="I1" s="13" t="s">
        <v>39</v>
      </c>
      <c r="J1" s="11" t="s">
        <v>42</v>
      </c>
      <c r="K1" s="11" t="s">
        <v>43</v>
      </c>
      <c r="L1" s="11" t="s">
        <v>165</v>
      </c>
      <c r="M1" s="13" t="s">
        <v>19</v>
      </c>
      <c r="N1" s="13" t="s">
        <v>20</v>
      </c>
      <c r="O1" s="12"/>
      <c r="P1" s="14" t="s">
        <v>6</v>
      </c>
      <c r="Q1" s="14" t="s">
        <v>7</v>
      </c>
      <c r="R1" s="14" t="s">
        <v>8</v>
      </c>
      <c r="S1" s="14" t="s">
        <v>22</v>
      </c>
      <c r="T1" s="14" t="s">
        <v>23</v>
      </c>
      <c r="U1" s="14" t="s">
        <v>9</v>
      </c>
      <c r="V1" s="14" t="s">
        <v>10</v>
      </c>
      <c r="W1" s="14" t="s">
        <v>12</v>
      </c>
      <c r="X1" s="14" t="s">
        <v>13</v>
      </c>
      <c r="Y1" s="14" t="s">
        <v>14</v>
      </c>
      <c r="Z1" s="14" t="s">
        <v>15</v>
      </c>
      <c r="AA1" s="14" t="s">
        <v>16</v>
      </c>
      <c r="AB1" s="14" t="s">
        <v>40</v>
      </c>
      <c r="AC1" s="15"/>
    </row>
    <row r="2" spans="1:30" ht="22.5" customHeight="1">
      <c r="A2" s="11" t="s">
        <v>24</v>
      </c>
      <c r="B2" s="11" t="s">
        <v>4</v>
      </c>
      <c r="C2" s="12"/>
      <c r="D2" s="13" t="s">
        <v>0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44</v>
      </c>
      <c r="N2" s="13" t="s">
        <v>5</v>
      </c>
      <c r="O2" s="12"/>
      <c r="P2" s="13" t="s">
        <v>4</v>
      </c>
      <c r="Q2" s="13" t="s">
        <v>4</v>
      </c>
      <c r="R2" s="13"/>
      <c r="S2" s="13" t="s">
        <v>4</v>
      </c>
      <c r="T2" s="13" t="s">
        <v>4</v>
      </c>
      <c r="U2" s="13" t="s">
        <v>4</v>
      </c>
      <c r="V2" s="14" t="s">
        <v>11</v>
      </c>
      <c r="W2" s="13"/>
      <c r="X2" s="13" t="s">
        <v>18</v>
      </c>
      <c r="Y2" s="13" t="s">
        <v>18</v>
      </c>
      <c r="Z2" s="13" t="s">
        <v>18</v>
      </c>
      <c r="AA2" s="13" t="s">
        <v>17</v>
      </c>
      <c r="AB2" s="14" t="s">
        <v>4</v>
      </c>
      <c r="AC2" s="15"/>
    </row>
    <row r="3" spans="1:30">
      <c r="A3" s="7">
        <f>stiffener_C_shaped_weld!C30</f>
        <v>490</v>
      </c>
      <c r="B3" s="3">
        <v>-29.635100000000001</v>
      </c>
      <c r="D3" s="1">
        <v>1</v>
      </c>
      <c r="E3" s="2">
        <v>10</v>
      </c>
      <c r="F3" s="20">
        <v>10.6799</v>
      </c>
      <c r="G3" s="2">
        <f>F3/SQRT(2)</f>
        <v>7.5518297123942082</v>
      </c>
      <c r="H3" s="20">
        <f>(MAX($D$3:$D$14)-D3+0.5)*E3-$AB$3</f>
        <v>87.205882352941174</v>
      </c>
      <c r="I3" s="2">
        <f>(MAX(D17:D39)-MAX(D3:D14))*E17</f>
        <v>230</v>
      </c>
      <c r="J3" s="20">
        <f>H3-B3</f>
        <v>116.84098235294118</v>
      </c>
      <c r="K3" s="2">
        <f>I3</f>
        <v>230</v>
      </c>
      <c r="L3" s="2">
        <f>SQRT(J3^2+K3^2)</f>
        <v>257.97638488280342</v>
      </c>
      <c r="M3" s="2">
        <f>ABS(J3/K3)</f>
        <v>0.50800427109974422</v>
      </c>
      <c r="N3" s="2">
        <f>ATAN(M3)*180/PI()</f>
        <v>26.930764050234636</v>
      </c>
      <c r="P3" s="4">
        <f>0.209 * (N3+2)^-0.32 * F3</f>
        <v>0.76046337611022474</v>
      </c>
      <c r="Q3" s="4">
        <f>MIN(1.087*(N3+6)^-0.65 * F3, 0.17*F3)</f>
        <v>1.1977207005278563</v>
      </c>
      <c r="R3" s="4">
        <f>Q3/L3</f>
        <v>4.6427532546127089E-3</v>
      </c>
      <c r="S3" s="4">
        <f t="shared" ref="S3:S13" si="0">INDEX($Q$3:$Q$39, MATCH(MIN($R$3:$R$39),$R$3:$R$39,0))</f>
        <v>0.60998726178833029</v>
      </c>
      <c r="T3" s="2">
        <f t="shared" ref="T3:T13" si="1">INDEX($L$3:$L$39, MATCH(MIN($R$3:$R$39),$R$3:$R$39,0))</f>
        <v>225.31135981810297</v>
      </c>
      <c r="U3" s="6">
        <f>S3*L3/T3</f>
        <v>0.69842154762083219</v>
      </c>
      <c r="V3" s="4">
        <f>U3/P3</f>
        <v>0.91841575749941184</v>
      </c>
      <c r="W3" s="4">
        <f>POWER(V3*(1.9-0.9*V3),0.3)</f>
        <v>0.99573416580138863</v>
      </c>
      <c r="X3" s="3">
        <f>0.6*A3*G3*E3*(1+0.5*SIN(N3*PI()/180)^1.5)*W3/1000</f>
        <v>25.476937591033057</v>
      </c>
      <c r="Y3" s="8">
        <f>X3*COS(N3*PI()/180)</f>
        <v>22.71407768040325</v>
      </c>
      <c r="Z3" s="3">
        <f>X3*SIN(N3*PI()/180)</f>
        <v>11.538848475736222</v>
      </c>
      <c r="AA3" s="3">
        <f>L3*X3</f>
        <v>6572.448257619506</v>
      </c>
      <c r="AB3" s="3">
        <f>(MAX(D3:D14)*E3*G3*MAX(D3:D14)*E3/2)/(MAX(D3:D14)*E3*G3+I3*G3)</f>
        <v>17.794117647058826</v>
      </c>
      <c r="AC3" s="3"/>
      <c r="AD3" s="15"/>
    </row>
    <row r="4" spans="1:30">
      <c r="A4" s="7">
        <f>A3</f>
        <v>490</v>
      </c>
      <c r="B4" s="3">
        <f t="shared" ref="A4:B19" si="2">B3</f>
        <v>-29.635100000000001</v>
      </c>
      <c r="D4" s="1">
        <f>D3+1</f>
        <v>2</v>
      </c>
      <c r="E4" s="2">
        <f>E3</f>
        <v>10</v>
      </c>
      <c r="F4" s="2">
        <f>F3</f>
        <v>10.6799</v>
      </c>
      <c r="G4" s="2">
        <f t="shared" ref="G4:G39" si="3">F4/SQRT(2)</f>
        <v>7.5518297123942082</v>
      </c>
      <c r="H4" s="20">
        <f t="shared" ref="H4:H13" si="4">(MAX($D$3:$D$14)-D4+0.5)*E4-$AB$3</f>
        <v>77.205882352941174</v>
      </c>
      <c r="I4" s="2">
        <f>I3</f>
        <v>230</v>
      </c>
      <c r="J4" s="20">
        <f t="shared" ref="J4:J13" si="5">H4-B4</f>
        <v>106.84098235294118</v>
      </c>
      <c r="K4" s="2">
        <f>K3</f>
        <v>230</v>
      </c>
      <c r="L4" s="2">
        <f t="shared" ref="L4:L13" si="6">SQRT(J4^2+K4^2)</f>
        <v>253.60401319801997</v>
      </c>
      <c r="M4" s="2">
        <f t="shared" ref="M4:M13" si="7">ABS(J4/K4)</f>
        <v>0.46452601023017903</v>
      </c>
      <c r="N4" s="2">
        <f t="shared" ref="N4:N13" si="8">ATAN(M4)*180/PI()</f>
        <v>24.916094177372695</v>
      </c>
      <c r="P4" s="4">
        <f t="shared" ref="P4:P39" si="9">0.209 * (N4+2)^-0.32 * F4</f>
        <v>0.77823295921473135</v>
      </c>
      <c r="Q4" s="4">
        <f t="shared" ref="Q4:Q39" si="10">MIN(1.087*(N4+6)^-0.65 * F4, 0.17*F4)</f>
        <v>1.2478912119966787</v>
      </c>
      <c r="R4" s="4">
        <f t="shared" ref="R4:R39" si="11">Q4/L4</f>
        <v>4.9206288033868612E-3</v>
      </c>
      <c r="S4" s="4">
        <f t="shared" si="0"/>
        <v>0.60998726178833029</v>
      </c>
      <c r="T4" s="2">
        <f t="shared" si="1"/>
        <v>225.31135981810297</v>
      </c>
      <c r="U4" s="6">
        <f t="shared" ref="U4:U39" si="12">S4*L4/T4</f>
        <v>0.68658419049123576</v>
      </c>
      <c r="V4" s="4">
        <f t="shared" ref="V4:V39" si="13">U4/P4</f>
        <v>0.88223478890437523</v>
      </c>
      <c r="W4" s="4">
        <f t="shared" ref="W4:W39" si="14">POWER(V4*(1.9-0.9*V4),0.3)</f>
        <v>0.99265985715190352</v>
      </c>
      <c r="X4" s="3">
        <f t="shared" ref="X4:X39" si="15">0.6*A4*G4*E4*(1+0.5*SIN(N4*PI()/180)^1.5)*W4/1000</f>
        <v>25.052712363442986</v>
      </c>
      <c r="Y4" s="8">
        <f t="shared" ref="Y4:Y13" si="16">X4*COS(N4*PI()/180)</f>
        <v>22.7209489744655</v>
      </c>
      <c r="Z4" s="3">
        <f t="shared" ref="Z4:Z13" si="17">X4*SIN(N4*PI()/180)</f>
        <v>10.554471775751935</v>
      </c>
      <c r="AA4" s="3">
        <f t="shared" ref="AA4:AA39" si="18">L4*X4</f>
        <v>6353.4683968647932</v>
      </c>
      <c r="AB4" s="3">
        <f>I3-(MAX(D3:D14)*E3*G3*G3/2+I3*G3*I3/2)/(MAX(D3:D14)*E3*G3+I3*G3)</f>
        <v>150.98426284064209</v>
      </c>
      <c r="AC4" s="3"/>
      <c r="AD4" s="15"/>
    </row>
    <row r="5" spans="1:30">
      <c r="A5" s="7">
        <f t="shared" si="2"/>
        <v>490</v>
      </c>
      <c r="B5" s="3">
        <f t="shared" si="2"/>
        <v>-29.635100000000001</v>
      </c>
      <c r="D5" s="1">
        <f t="shared" ref="D5:D13" si="19">D4+1</f>
        <v>3</v>
      </c>
      <c r="E5" s="2">
        <f t="shared" ref="E5:F20" si="20">E4</f>
        <v>10</v>
      </c>
      <c r="F5" s="2">
        <f t="shared" si="20"/>
        <v>10.6799</v>
      </c>
      <c r="G5" s="2">
        <f t="shared" si="3"/>
        <v>7.5518297123942082</v>
      </c>
      <c r="H5" s="20">
        <f t="shared" si="4"/>
        <v>67.205882352941174</v>
      </c>
      <c r="I5" s="2">
        <f t="shared" ref="I5:K13" si="21">I4</f>
        <v>230</v>
      </c>
      <c r="J5" s="20">
        <f t="shared" si="5"/>
        <v>96.840982352941182</v>
      </c>
      <c r="K5" s="2">
        <f t="shared" si="21"/>
        <v>230</v>
      </c>
      <c r="L5" s="2">
        <f t="shared" si="6"/>
        <v>249.55595737846585</v>
      </c>
      <c r="M5" s="2">
        <f t="shared" si="7"/>
        <v>0.42104774936061384</v>
      </c>
      <c r="N5" s="2">
        <f t="shared" si="8"/>
        <v>22.833416571120612</v>
      </c>
      <c r="P5" s="4">
        <f t="shared" si="9"/>
        <v>0.79854942401627249</v>
      </c>
      <c r="Q5" s="4">
        <f t="shared" si="10"/>
        <v>1.3057627077719558</v>
      </c>
      <c r="R5" s="4">
        <f t="shared" si="11"/>
        <v>5.2323443667253037E-3</v>
      </c>
      <c r="S5" s="4">
        <f t="shared" si="0"/>
        <v>0.60998726178833029</v>
      </c>
      <c r="T5" s="2">
        <f t="shared" si="1"/>
        <v>225.31135981810297</v>
      </c>
      <c r="U5" s="6">
        <f t="shared" si="12"/>
        <v>0.67562485631949398</v>
      </c>
      <c r="V5" s="4">
        <f t="shared" si="13"/>
        <v>0.84606517267455494</v>
      </c>
      <c r="W5" s="4">
        <f t="shared" si="14"/>
        <v>0.98883945657979933</v>
      </c>
      <c r="X5" s="3">
        <f t="shared" si="15"/>
        <v>24.608168686303973</v>
      </c>
      <c r="Y5" s="8">
        <f t="shared" si="16"/>
        <v>22.679798379913585</v>
      </c>
      <c r="Z5" s="3">
        <f t="shared" si="17"/>
        <v>9.5492780638151107</v>
      </c>
      <c r="AA5" s="3">
        <f t="shared" si="18"/>
        <v>6141.1150958413718</v>
      </c>
      <c r="AB5" s="3"/>
      <c r="AC5" s="3"/>
      <c r="AD5" s="15"/>
    </row>
    <row r="6" spans="1:30">
      <c r="A6" s="7">
        <f t="shared" si="2"/>
        <v>490</v>
      </c>
      <c r="B6" s="3">
        <f t="shared" si="2"/>
        <v>-29.635100000000001</v>
      </c>
      <c r="D6" s="1">
        <f t="shared" si="19"/>
        <v>4</v>
      </c>
      <c r="E6" s="2">
        <f t="shared" si="20"/>
        <v>10</v>
      </c>
      <c r="F6" s="2">
        <f t="shared" si="20"/>
        <v>10.6799</v>
      </c>
      <c r="G6" s="2">
        <f t="shared" si="3"/>
        <v>7.5518297123942082</v>
      </c>
      <c r="H6" s="20">
        <f t="shared" si="4"/>
        <v>57.205882352941174</v>
      </c>
      <c r="I6" s="2">
        <f t="shared" si="21"/>
        <v>230</v>
      </c>
      <c r="J6" s="20">
        <f t="shared" si="5"/>
        <v>86.840982352941182</v>
      </c>
      <c r="K6" s="2">
        <f t="shared" si="21"/>
        <v>230</v>
      </c>
      <c r="L6" s="2">
        <f t="shared" si="6"/>
        <v>245.84823817962138</v>
      </c>
      <c r="M6" s="2">
        <f t="shared" si="7"/>
        <v>0.3775694884910486</v>
      </c>
      <c r="N6" s="2">
        <f t="shared" si="8"/>
        <v>20.685006390732021</v>
      </c>
      <c r="P6" s="4">
        <f t="shared" si="9"/>
        <v>0.82200985152739359</v>
      </c>
      <c r="Q6" s="4">
        <f t="shared" si="10"/>
        <v>1.37316579909765</v>
      </c>
      <c r="R6" s="4">
        <f t="shared" si="11"/>
        <v>5.585420539375145E-3</v>
      </c>
      <c r="S6" s="4">
        <f t="shared" si="0"/>
        <v>0.60998726178833029</v>
      </c>
      <c r="T6" s="2">
        <f t="shared" si="1"/>
        <v>225.31135981810297</v>
      </c>
      <c r="U6" s="6">
        <f t="shared" si="12"/>
        <v>0.66558691822614158</v>
      </c>
      <c r="V6" s="4">
        <f t="shared" si="13"/>
        <v>0.80970674133576459</v>
      </c>
      <c r="W6" s="4">
        <f t="shared" si="14"/>
        <v>0.98422582793025248</v>
      </c>
      <c r="X6" s="3">
        <f t="shared" si="15"/>
        <v>24.145929708490595</v>
      </c>
      <c r="Y6" s="8">
        <f t="shared" si="16"/>
        <v>22.589398541450183</v>
      </c>
      <c r="Z6" s="3">
        <f t="shared" si="17"/>
        <v>8.5290676526157867</v>
      </c>
      <c r="AA6" s="3">
        <f t="shared" si="18"/>
        <v>5936.2342780413919</v>
      </c>
      <c r="AB6" s="3"/>
      <c r="AC6" s="3"/>
      <c r="AD6" s="15"/>
    </row>
    <row r="7" spans="1:30">
      <c r="A7" s="7">
        <f t="shared" si="2"/>
        <v>490</v>
      </c>
      <c r="B7" s="3">
        <f t="shared" si="2"/>
        <v>-29.635100000000001</v>
      </c>
      <c r="D7" s="1">
        <f t="shared" si="19"/>
        <v>5</v>
      </c>
      <c r="E7" s="2">
        <f t="shared" si="20"/>
        <v>10</v>
      </c>
      <c r="F7" s="2">
        <f t="shared" si="20"/>
        <v>10.6799</v>
      </c>
      <c r="G7" s="2">
        <f t="shared" si="3"/>
        <v>7.5518297123942082</v>
      </c>
      <c r="H7" s="20">
        <f t="shared" si="4"/>
        <v>47.205882352941174</v>
      </c>
      <c r="I7" s="2">
        <f t="shared" si="21"/>
        <v>230</v>
      </c>
      <c r="J7" s="20">
        <f t="shared" si="5"/>
        <v>76.840982352941182</v>
      </c>
      <c r="K7" s="2">
        <f t="shared" si="21"/>
        <v>230</v>
      </c>
      <c r="L7" s="2">
        <f t="shared" si="6"/>
        <v>242.49646712677077</v>
      </c>
      <c r="M7" s="2">
        <f t="shared" si="7"/>
        <v>0.33409122762148341</v>
      </c>
      <c r="N7" s="2">
        <f t="shared" si="8"/>
        <v>18.47402166256429</v>
      </c>
      <c r="P7" s="4">
        <f t="shared" si="9"/>
        <v>0.84943169457812517</v>
      </c>
      <c r="Q7" s="4">
        <f t="shared" si="10"/>
        <v>1.4525739763140959</v>
      </c>
      <c r="R7" s="4">
        <f t="shared" si="11"/>
        <v>5.9900830454355791E-3</v>
      </c>
      <c r="S7" s="4">
        <f t="shared" si="0"/>
        <v>0.60998726178833029</v>
      </c>
      <c r="T7" s="2">
        <f t="shared" si="1"/>
        <v>225.31135981810297</v>
      </c>
      <c r="U7" s="6">
        <f t="shared" si="12"/>
        <v>0.65651264141950261</v>
      </c>
      <c r="V7" s="4">
        <f t="shared" si="13"/>
        <v>0.77288455988867144</v>
      </c>
      <c r="W7" s="4">
        <f t="shared" si="14"/>
        <v>0.978737063802535</v>
      </c>
      <c r="X7" s="3">
        <f t="shared" si="15"/>
        <v>23.668349698633865</v>
      </c>
      <c r="Y7" s="8">
        <f t="shared" si="16"/>
        <v>22.448658717324552</v>
      </c>
      <c r="Z7" s="3">
        <f t="shared" si="17"/>
        <v>7.4998999493266734</v>
      </c>
      <c r="AA7" s="3">
        <f t="shared" si="18"/>
        <v>5739.4911846396817</v>
      </c>
      <c r="AB7" s="3"/>
      <c r="AC7" s="3"/>
      <c r="AD7" s="15"/>
    </row>
    <row r="8" spans="1:30">
      <c r="A8" s="7">
        <f t="shared" si="2"/>
        <v>490</v>
      </c>
      <c r="B8" s="3">
        <f t="shared" si="2"/>
        <v>-29.635100000000001</v>
      </c>
      <c r="D8" s="1">
        <f t="shared" si="19"/>
        <v>6</v>
      </c>
      <c r="E8" s="2">
        <f t="shared" si="20"/>
        <v>10</v>
      </c>
      <c r="F8" s="2">
        <f t="shared" si="20"/>
        <v>10.6799</v>
      </c>
      <c r="G8" s="2">
        <f t="shared" si="3"/>
        <v>7.5518297123942082</v>
      </c>
      <c r="H8" s="20">
        <f t="shared" si="4"/>
        <v>37.205882352941174</v>
      </c>
      <c r="I8" s="2">
        <f t="shared" si="21"/>
        <v>230</v>
      </c>
      <c r="J8" s="20">
        <f t="shared" si="5"/>
        <v>66.840982352941182</v>
      </c>
      <c r="K8" s="2">
        <f t="shared" si="21"/>
        <v>230</v>
      </c>
      <c r="L8" s="2">
        <f t="shared" si="6"/>
        <v>239.51558805619769</v>
      </c>
      <c r="M8" s="2">
        <f t="shared" si="7"/>
        <v>0.29061296675191817</v>
      </c>
      <c r="N8" s="2">
        <f t="shared" si="8"/>
        <v>16.204549612924176</v>
      </c>
      <c r="P8" s="4">
        <f t="shared" si="9"/>
        <v>0.88197422202708842</v>
      </c>
      <c r="Q8" s="4">
        <f t="shared" si="10"/>
        <v>1.5474244362507277</v>
      </c>
      <c r="R8" s="4">
        <f t="shared" si="11"/>
        <v>6.4606418680677041E-3</v>
      </c>
      <c r="S8" s="4">
        <f t="shared" si="0"/>
        <v>0.60998726178833029</v>
      </c>
      <c r="T8" s="2">
        <f t="shared" si="1"/>
        <v>225.31135981810297</v>
      </c>
      <c r="U8" s="6">
        <f t="shared" si="12"/>
        <v>0.64844248346808386</v>
      </c>
      <c r="V8" s="4">
        <f t="shared" si="13"/>
        <v>0.7352170474753037</v>
      </c>
      <c r="W8" s="4">
        <f t="shared" si="14"/>
        <v>0.97223874084589401</v>
      </c>
      <c r="X8" s="3">
        <f t="shared" si="15"/>
        <v>23.177144602346182</v>
      </c>
      <c r="Y8" s="8">
        <f t="shared" si="16"/>
        <v>22.256352088820481</v>
      </c>
      <c r="Z8" s="3">
        <f t="shared" si="17"/>
        <v>6.4679845096073718</v>
      </c>
      <c r="AA8" s="3">
        <f t="shared" si="18"/>
        <v>5551.2874188944743</v>
      </c>
      <c r="AB8" s="3"/>
      <c r="AC8" s="3"/>
      <c r="AD8" s="15"/>
    </row>
    <row r="9" spans="1:30">
      <c r="A9" s="7">
        <f t="shared" si="2"/>
        <v>490</v>
      </c>
      <c r="B9" s="3">
        <f t="shared" si="2"/>
        <v>-29.635100000000001</v>
      </c>
      <c r="D9" s="1">
        <f t="shared" si="19"/>
        <v>7</v>
      </c>
      <c r="E9" s="2">
        <f t="shared" si="20"/>
        <v>10</v>
      </c>
      <c r="F9" s="2">
        <f t="shared" si="20"/>
        <v>10.6799</v>
      </c>
      <c r="G9" s="2">
        <f t="shared" si="3"/>
        <v>7.5518297123942082</v>
      </c>
      <c r="H9" s="20">
        <f t="shared" si="4"/>
        <v>27.205882352941174</v>
      </c>
      <c r="I9" s="2">
        <f t="shared" si="21"/>
        <v>230</v>
      </c>
      <c r="J9" s="20">
        <f t="shared" si="5"/>
        <v>56.840982352941175</v>
      </c>
      <c r="K9" s="2">
        <f t="shared" si="21"/>
        <v>230</v>
      </c>
      <c r="L9" s="2">
        <f t="shared" si="6"/>
        <v>236.91960086672307</v>
      </c>
      <c r="M9" s="2">
        <f t="shared" si="7"/>
        <v>0.24713470588235292</v>
      </c>
      <c r="N9" s="2">
        <f t="shared" si="8"/>
        <v>13.881627358132436</v>
      </c>
      <c r="P9" s="4">
        <f t="shared" si="9"/>
        <v>0.92135515872992813</v>
      </c>
      <c r="Q9" s="4">
        <f t="shared" si="10"/>
        <v>1.6626581906983862</v>
      </c>
      <c r="R9" s="4">
        <f t="shared" si="11"/>
        <v>7.0178161056150823E-3</v>
      </c>
      <c r="S9" s="4">
        <f t="shared" si="0"/>
        <v>0.60998726178833029</v>
      </c>
      <c r="T9" s="2">
        <f t="shared" si="1"/>
        <v>225.31135981810297</v>
      </c>
      <c r="U9" s="6">
        <f t="shared" si="12"/>
        <v>0.64141434641088624</v>
      </c>
      <c r="V9" s="4">
        <f t="shared" si="13"/>
        <v>0.69616405827158401</v>
      </c>
      <c r="W9" s="4">
        <f t="shared" si="14"/>
        <v>0.96451345135423694</v>
      </c>
      <c r="X9" s="3">
        <f t="shared" si="15"/>
        <v>22.672748600661809</v>
      </c>
      <c r="Y9" s="8">
        <f t="shared" si="16"/>
        <v>22.010556151011393</v>
      </c>
      <c r="Z9" s="3">
        <f t="shared" si="17"/>
        <v>5.4395723206872146</v>
      </c>
      <c r="AA9" s="3">
        <f t="shared" si="18"/>
        <v>5371.6185490203497</v>
      </c>
      <c r="AB9" s="3"/>
      <c r="AC9" s="3"/>
      <c r="AD9" s="15"/>
    </row>
    <row r="10" spans="1:30">
      <c r="A10" s="7">
        <f t="shared" si="2"/>
        <v>490</v>
      </c>
      <c r="B10" s="3">
        <f t="shared" si="2"/>
        <v>-29.635100000000001</v>
      </c>
      <c r="D10" s="1">
        <f t="shared" si="19"/>
        <v>8</v>
      </c>
      <c r="E10" s="2">
        <f t="shared" si="20"/>
        <v>10</v>
      </c>
      <c r="F10" s="2">
        <f t="shared" si="20"/>
        <v>10.6799</v>
      </c>
      <c r="G10" s="2">
        <f t="shared" si="3"/>
        <v>7.5518297123942082</v>
      </c>
      <c r="H10" s="20">
        <f t="shared" si="4"/>
        <v>17.205882352941174</v>
      </c>
      <c r="I10" s="2">
        <f t="shared" si="21"/>
        <v>230</v>
      </c>
      <c r="J10" s="20">
        <f t="shared" si="5"/>
        <v>46.840982352941175</v>
      </c>
      <c r="K10" s="2">
        <f t="shared" si="21"/>
        <v>230</v>
      </c>
      <c r="L10" s="2">
        <f t="shared" si="6"/>
        <v>234.72127647017547</v>
      </c>
      <c r="M10" s="2">
        <f t="shared" si="7"/>
        <v>0.20365644501278771</v>
      </c>
      <c r="N10" s="2">
        <f t="shared" si="8"/>
        <v>11.511231317906624</v>
      </c>
      <c r="P10" s="4">
        <f t="shared" si="9"/>
        <v>0.97026662965998256</v>
      </c>
      <c r="Q10" s="4">
        <f t="shared" si="10"/>
        <v>1.8056804047569746</v>
      </c>
      <c r="R10" s="4">
        <f t="shared" si="11"/>
        <v>7.6928705906488658E-3</v>
      </c>
      <c r="S10" s="4">
        <f t="shared" si="0"/>
        <v>0.60998726178833029</v>
      </c>
      <c r="T10" s="2">
        <f t="shared" si="1"/>
        <v>225.31135981810297</v>
      </c>
      <c r="U10" s="6">
        <f t="shared" si="12"/>
        <v>0.63546280504051267</v>
      </c>
      <c r="V10" s="4">
        <f t="shared" si="13"/>
        <v>0.65493626763521939</v>
      </c>
      <c r="W10" s="4">
        <f t="shared" si="14"/>
        <v>0.95520485723969928</v>
      </c>
      <c r="X10" s="3">
        <f t="shared" si="15"/>
        <v>22.153135167427997</v>
      </c>
      <c r="Y10" s="8">
        <f t="shared" si="16"/>
        <v>21.707538256148911</v>
      </c>
      <c r="Z10" s="3">
        <f t="shared" si="17"/>
        <v>4.4208800712263754</v>
      </c>
      <c r="AA10" s="3">
        <f t="shared" si="18"/>
        <v>5199.8121643150344</v>
      </c>
      <c r="AB10" s="3"/>
      <c r="AC10" s="3"/>
      <c r="AD10" s="15"/>
    </row>
    <row r="11" spans="1:30">
      <c r="A11" s="7">
        <f t="shared" si="2"/>
        <v>490</v>
      </c>
      <c r="B11" s="3">
        <f t="shared" si="2"/>
        <v>-29.635100000000001</v>
      </c>
      <c r="D11" s="1">
        <f t="shared" si="19"/>
        <v>9</v>
      </c>
      <c r="E11" s="2">
        <f t="shared" si="20"/>
        <v>10</v>
      </c>
      <c r="F11" s="2">
        <f t="shared" si="20"/>
        <v>10.6799</v>
      </c>
      <c r="G11" s="2">
        <f t="shared" si="3"/>
        <v>7.5518297123942082</v>
      </c>
      <c r="H11" s="20">
        <f t="shared" si="4"/>
        <v>7.205882352941174</v>
      </c>
      <c r="I11" s="2">
        <f t="shared" si="21"/>
        <v>230</v>
      </c>
      <c r="J11" s="20">
        <f t="shared" si="5"/>
        <v>36.840982352941175</v>
      </c>
      <c r="K11" s="2">
        <f t="shared" si="21"/>
        <v>230</v>
      </c>
      <c r="L11" s="2">
        <f t="shared" si="6"/>
        <v>232.93187411930066</v>
      </c>
      <c r="M11" s="2">
        <f t="shared" si="7"/>
        <v>0.16017818414322249</v>
      </c>
      <c r="N11" s="2">
        <f t="shared" si="8"/>
        <v>9.1002310115929035</v>
      </c>
      <c r="P11" s="4">
        <f t="shared" si="9"/>
        <v>1.0332543131861875</v>
      </c>
      <c r="Q11" s="4">
        <f t="shared" si="10"/>
        <v>1.8155830000000002</v>
      </c>
      <c r="R11" s="4">
        <f t="shared" si="11"/>
        <v>7.7944807118587537E-3</v>
      </c>
      <c r="S11" s="4">
        <f t="shared" si="0"/>
        <v>0.60998726178833029</v>
      </c>
      <c r="T11" s="2">
        <f t="shared" si="1"/>
        <v>225.31135981810297</v>
      </c>
      <c r="U11" s="6">
        <f t="shared" si="12"/>
        <v>0.63061834162273867</v>
      </c>
      <c r="V11" s="4">
        <f t="shared" si="13"/>
        <v>0.61032248651170573</v>
      </c>
      <c r="W11" s="4">
        <f t="shared" si="14"/>
        <v>0.94370536271632066</v>
      </c>
      <c r="X11" s="3">
        <f t="shared" si="15"/>
        <v>21.611464939443479</v>
      </c>
      <c r="Y11" s="8">
        <f t="shared" si="16"/>
        <v>21.339445083956999</v>
      </c>
      <c r="Z11" s="3">
        <f t="shared" si="17"/>
        <v>3.418113564172248</v>
      </c>
      <c r="AA11" s="3">
        <f t="shared" si="18"/>
        <v>5033.9990308081278</v>
      </c>
      <c r="AB11" s="3"/>
      <c r="AC11" s="3"/>
      <c r="AD11" s="15"/>
    </row>
    <row r="12" spans="1:30">
      <c r="A12" s="7">
        <f t="shared" si="2"/>
        <v>490</v>
      </c>
      <c r="B12" s="3">
        <f t="shared" si="2"/>
        <v>-29.635100000000001</v>
      </c>
      <c r="D12" s="1">
        <f t="shared" si="19"/>
        <v>10</v>
      </c>
      <c r="E12" s="2">
        <f t="shared" si="20"/>
        <v>10</v>
      </c>
      <c r="F12" s="2">
        <f t="shared" si="20"/>
        <v>10.6799</v>
      </c>
      <c r="G12" s="2">
        <f t="shared" si="3"/>
        <v>7.5518297123942082</v>
      </c>
      <c r="H12" s="20">
        <f t="shared" si="4"/>
        <v>-2.794117647058826</v>
      </c>
      <c r="I12" s="2">
        <f t="shared" si="21"/>
        <v>230</v>
      </c>
      <c r="J12" s="20">
        <f t="shared" si="5"/>
        <v>26.840982352941175</v>
      </c>
      <c r="K12" s="2">
        <f t="shared" si="21"/>
        <v>230</v>
      </c>
      <c r="L12" s="2">
        <f t="shared" si="6"/>
        <v>231.56087392664352</v>
      </c>
      <c r="M12" s="2">
        <f t="shared" si="7"/>
        <v>0.11669992327365729</v>
      </c>
      <c r="N12" s="2">
        <f t="shared" si="8"/>
        <v>6.6563049148301943</v>
      </c>
      <c r="P12" s="4">
        <f t="shared" si="9"/>
        <v>1.1188376121007206</v>
      </c>
      <c r="Q12" s="4">
        <f t="shared" si="10"/>
        <v>1.8155830000000002</v>
      </c>
      <c r="R12" s="4">
        <f t="shared" si="11"/>
        <v>7.8406294172786769E-3</v>
      </c>
      <c r="S12" s="4">
        <f t="shared" si="0"/>
        <v>0.60998726178833029</v>
      </c>
      <c r="T12" s="2">
        <f t="shared" si="1"/>
        <v>225.31135981810297</v>
      </c>
      <c r="U12" s="6">
        <f t="shared" si="12"/>
        <v>0.62690662174272305</v>
      </c>
      <c r="V12" s="4">
        <f t="shared" si="13"/>
        <v>0.56031958075278521</v>
      </c>
      <c r="W12" s="4">
        <f t="shared" si="14"/>
        <v>0.92890118904613428</v>
      </c>
      <c r="X12" s="3">
        <f t="shared" si="15"/>
        <v>21.030764547694929</v>
      </c>
      <c r="Y12" s="8">
        <f t="shared" si="16"/>
        <v>20.88900324111826</v>
      </c>
      <c r="Z12" s="3">
        <f t="shared" si="17"/>
        <v>2.4377450755016796</v>
      </c>
      <c r="AA12" s="3">
        <f t="shared" si="18"/>
        <v>4869.9022180097099</v>
      </c>
      <c r="AB12" s="3"/>
      <c r="AC12" s="3"/>
      <c r="AD12" s="15"/>
    </row>
    <row r="13" spans="1:30">
      <c r="A13" s="7">
        <f t="shared" si="2"/>
        <v>490</v>
      </c>
      <c r="B13" s="3">
        <f t="shared" si="2"/>
        <v>-29.635100000000001</v>
      </c>
      <c r="D13" s="1">
        <f t="shared" si="19"/>
        <v>11</v>
      </c>
      <c r="E13" s="2">
        <f t="shared" si="20"/>
        <v>10</v>
      </c>
      <c r="F13" s="2">
        <f t="shared" si="20"/>
        <v>10.6799</v>
      </c>
      <c r="G13" s="2">
        <f t="shared" si="3"/>
        <v>7.5518297123942082</v>
      </c>
      <c r="H13" s="20">
        <f t="shared" si="4"/>
        <v>-12.794117647058826</v>
      </c>
      <c r="I13" s="2">
        <f t="shared" si="21"/>
        <v>230</v>
      </c>
      <c r="J13" s="20">
        <f t="shared" si="5"/>
        <v>16.840982352941175</v>
      </c>
      <c r="K13" s="2">
        <f t="shared" si="21"/>
        <v>230</v>
      </c>
      <c r="L13" s="2">
        <f t="shared" si="6"/>
        <v>230.61573815898186</v>
      </c>
      <c r="M13" s="2">
        <f t="shared" si="7"/>
        <v>7.3221662404092072E-2</v>
      </c>
      <c r="N13" s="2">
        <f t="shared" si="8"/>
        <v>4.187818688077682</v>
      </c>
      <c r="P13" s="4">
        <f t="shared" si="9"/>
        <v>1.2457228963223521</v>
      </c>
      <c r="Q13" s="4">
        <f t="shared" si="10"/>
        <v>1.8155830000000002</v>
      </c>
      <c r="R13" s="4">
        <f t="shared" si="11"/>
        <v>7.8727627806059516E-3</v>
      </c>
      <c r="S13" s="4">
        <f t="shared" si="0"/>
        <v>0.60998726178833029</v>
      </c>
      <c r="T13" s="2">
        <f t="shared" si="1"/>
        <v>225.31135981810297</v>
      </c>
      <c r="U13" s="6">
        <f t="shared" si="12"/>
        <v>0.6243478480555037</v>
      </c>
      <c r="V13" s="4">
        <f t="shared" si="13"/>
        <v>0.50119320267670753</v>
      </c>
      <c r="W13" s="4">
        <f t="shared" si="14"/>
        <v>0.90848011110635307</v>
      </c>
      <c r="X13" s="3">
        <f t="shared" si="15"/>
        <v>20.369442786383168</v>
      </c>
      <c r="Y13" s="8">
        <f t="shared" si="16"/>
        <v>20.315056891903897</v>
      </c>
      <c r="Z13" s="3">
        <f t="shared" si="17"/>
        <v>1.4875022374589113</v>
      </c>
      <c r="AA13" s="3">
        <f t="shared" si="18"/>
        <v>4697.5140840689028</v>
      </c>
      <c r="AB13" s="3"/>
      <c r="AC13" s="3"/>
      <c r="AD13" s="15"/>
    </row>
    <row r="14" spans="1:30">
      <c r="A14" s="7"/>
      <c r="B14" s="3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P14" s="4"/>
      <c r="Q14" s="4"/>
      <c r="R14" s="4"/>
      <c r="S14" s="4"/>
      <c r="T14" s="2"/>
      <c r="U14" s="6"/>
      <c r="V14" s="4"/>
      <c r="W14" s="4"/>
      <c r="X14" s="3"/>
      <c r="Y14" s="8"/>
      <c r="Z14" s="3"/>
      <c r="AA14" s="3"/>
      <c r="AB14" s="3"/>
      <c r="AC14" s="3"/>
      <c r="AD14" s="15"/>
    </row>
    <row r="15" spans="1:30" ht="22.5" customHeight="1">
      <c r="A15" s="11" t="s">
        <v>28</v>
      </c>
      <c r="B15" s="11" t="s">
        <v>37</v>
      </c>
      <c r="C15" s="12"/>
      <c r="D15" s="13" t="s">
        <v>1</v>
      </c>
      <c r="E15" s="11" t="s">
        <v>21</v>
      </c>
      <c r="F15" s="13" t="s">
        <v>2</v>
      </c>
      <c r="G15" s="13" t="s">
        <v>3</v>
      </c>
      <c r="H15" s="13" t="s">
        <v>38</v>
      </c>
      <c r="I15" s="13" t="s">
        <v>39</v>
      </c>
      <c r="J15" s="11" t="s">
        <v>42</v>
      </c>
      <c r="K15" s="11" t="s">
        <v>43</v>
      </c>
      <c r="L15" s="11" t="s">
        <v>165</v>
      </c>
      <c r="M15" s="13" t="s">
        <v>19</v>
      </c>
      <c r="N15" s="13" t="s">
        <v>20</v>
      </c>
      <c r="O15" s="12"/>
      <c r="P15" s="14" t="s">
        <v>6</v>
      </c>
      <c r="Q15" s="14" t="s">
        <v>7</v>
      </c>
      <c r="R15" s="14" t="s">
        <v>8</v>
      </c>
      <c r="S15" s="14" t="s">
        <v>22</v>
      </c>
      <c r="T15" s="14" t="s">
        <v>23</v>
      </c>
      <c r="U15" s="14" t="s">
        <v>9</v>
      </c>
      <c r="V15" s="14" t="s">
        <v>10</v>
      </c>
      <c r="W15" s="14" t="s">
        <v>12</v>
      </c>
      <c r="X15" s="14" t="s">
        <v>13</v>
      </c>
      <c r="Y15" s="14" t="s">
        <v>14</v>
      </c>
      <c r="Z15" s="14" t="s">
        <v>15</v>
      </c>
      <c r="AA15" s="14" t="s">
        <v>16</v>
      </c>
      <c r="AB15" s="14" t="s">
        <v>41</v>
      </c>
      <c r="AC15" s="14" t="s">
        <v>29</v>
      </c>
      <c r="AD15" s="14" t="s">
        <v>27</v>
      </c>
    </row>
    <row r="16" spans="1:30" ht="22.5" customHeight="1">
      <c r="A16" s="11" t="s">
        <v>24</v>
      </c>
      <c r="B16" s="11" t="s">
        <v>4</v>
      </c>
      <c r="C16" s="12"/>
      <c r="D16" s="13" t="s">
        <v>0</v>
      </c>
      <c r="E16" s="13" t="s">
        <v>4</v>
      </c>
      <c r="F16" s="13" t="s">
        <v>4</v>
      </c>
      <c r="G16" s="13" t="s">
        <v>4</v>
      </c>
      <c r="H16" s="13" t="s">
        <v>4</v>
      </c>
      <c r="I16" s="13" t="s">
        <v>4</v>
      </c>
      <c r="J16" s="13" t="s">
        <v>4</v>
      </c>
      <c r="K16" s="13" t="s">
        <v>4</v>
      </c>
      <c r="L16" s="13" t="s">
        <v>4</v>
      </c>
      <c r="M16" s="13" t="s">
        <v>45</v>
      </c>
      <c r="N16" s="13" t="s">
        <v>5</v>
      </c>
      <c r="O16" s="12"/>
      <c r="P16" s="13" t="s">
        <v>4</v>
      </c>
      <c r="Q16" s="13" t="s">
        <v>4</v>
      </c>
      <c r="R16" s="13"/>
      <c r="S16" s="13" t="s">
        <v>4</v>
      </c>
      <c r="T16" s="13" t="s">
        <v>4</v>
      </c>
      <c r="U16" s="13" t="s">
        <v>4</v>
      </c>
      <c r="V16" s="14" t="s">
        <v>11</v>
      </c>
      <c r="W16" s="13"/>
      <c r="X16" s="13" t="s">
        <v>18</v>
      </c>
      <c r="Y16" s="13" t="s">
        <v>18</v>
      </c>
      <c r="Z16" s="13" t="s">
        <v>18</v>
      </c>
      <c r="AA16" s="13" t="s">
        <v>17</v>
      </c>
      <c r="AB16" s="14" t="s">
        <v>4</v>
      </c>
      <c r="AC16" s="14" t="s">
        <v>18</v>
      </c>
      <c r="AD16" s="13" t="s">
        <v>17</v>
      </c>
    </row>
    <row r="17" spans="1:30">
      <c r="A17" s="7">
        <f>A3</f>
        <v>490</v>
      </c>
      <c r="B17" s="3">
        <f>B3</f>
        <v>-29.635100000000001</v>
      </c>
      <c r="D17" s="1">
        <f>MAX(D3:D14)+1</f>
        <v>12</v>
      </c>
      <c r="E17" s="2">
        <f>E3</f>
        <v>10</v>
      </c>
      <c r="F17" s="2">
        <f>F3</f>
        <v>10.6799</v>
      </c>
      <c r="G17" s="2">
        <f t="shared" si="3"/>
        <v>7.5518297123942082</v>
      </c>
      <c r="H17" s="2">
        <f t="shared" ref="H17:H39" si="22">-$AB$3</f>
        <v>-17.794117647058826</v>
      </c>
      <c r="I17" s="2">
        <f>E17*(MAX($D$17:$D$39)-D17+0.5)</f>
        <v>225</v>
      </c>
      <c r="J17" s="20">
        <f t="shared" ref="J17:J39" si="23">H17-B17</f>
        <v>11.840982352941175</v>
      </c>
      <c r="K17" s="2">
        <f>I17</f>
        <v>225</v>
      </c>
      <c r="L17" s="2">
        <f t="shared" ref="L17:L39" si="24">SQRT(J17^2+K17^2)</f>
        <v>225.31135981810297</v>
      </c>
      <c r="M17" s="2">
        <f>IF(J17=0,"infinity",ABS(K17/J17))</f>
        <v>19.001801817913559</v>
      </c>
      <c r="N17" s="2">
        <f>IF(J17=0,90,ATAN(M17)*180/PI())</f>
        <v>86.987497652721871</v>
      </c>
      <c r="P17" s="4">
        <f>0.209 * (ABS(N17)+2)^-0.32 * F17</f>
        <v>0.53079667550508847</v>
      </c>
      <c r="Q17" s="4">
        <f t="shared" si="10"/>
        <v>0.60998726178833029</v>
      </c>
      <c r="R17" s="4">
        <f t="shared" si="11"/>
        <v>2.7073080659616167E-3</v>
      </c>
      <c r="S17" s="4">
        <f t="shared" ref="S17:S39" si="25">INDEX($Q$3:$Q$39, MATCH(MIN($R$3:$R$39),$R$3:$R$39,0))</f>
        <v>0.60998726178833029</v>
      </c>
      <c r="T17" s="2">
        <f t="shared" ref="T17:T39" si="26">INDEX($L$3:$L$39, MATCH(MIN($R$3:$R$39),$R$3:$R$39,0))</f>
        <v>225.31135981810297</v>
      </c>
      <c r="U17" s="6">
        <f t="shared" si="12"/>
        <v>0.60998726178833029</v>
      </c>
      <c r="V17" s="4">
        <f t="shared" si="13"/>
        <v>1.1491919409779399</v>
      </c>
      <c r="W17" s="4">
        <f t="shared" si="14"/>
        <v>0.99846328150484798</v>
      </c>
      <c r="X17" s="3">
        <f t="shared" si="15"/>
        <v>33.229422869940699</v>
      </c>
      <c r="Y17" s="8">
        <f>X17*SIN(N17*PI()/180)</f>
        <v>33.183502828142522</v>
      </c>
      <c r="Z17" s="3">
        <f>X17*COS(N17*PI()/180)</f>
        <v>1.746334539541365</v>
      </c>
      <c r="AA17" s="3">
        <f t="shared" si="18"/>
        <v>7486.966452797109</v>
      </c>
      <c r="AB17" s="3">
        <f>AD17/AC18+MAX($D$3:$D$14)*E3-AB3</f>
        <v>830.73095940475491</v>
      </c>
      <c r="AC17" s="3">
        <f>stiffener_C_shaped_weld!B87</f>
        <v>611.07644189945711</v>
      </c>
      <c r="AD17" s="3">
        <f>stiffener_C_shaped_weld!B85*1000/2</f>
        <v>93698.387757916746</v>
      </c>
    </row>
    <row r="18" spans="1:30">
      <c r="A18" s="7">
        <f t="shared" si="2"/>
        <v>490</v>
      </c>
      <c r="B18" s="3">
        <f t="shared" si="2"/>
        <v>-29.635100000000001</v>
      </c>
      <c r="D18" s="1">
        <f>D17+1</f>
        <v>13</v>
      </c>
      <c r="E18" s="2">
        <f t="shared" si="20"/>
        <v>10</v>
      </c>
      <c r="F18" s="2">
        <f t="shared" si="20"/>
        <v>10.6799</v>
      </c>
      <c r="G18" s="2">
        <f t="shared" si="3"/>
        <v>7.5518297123942082</v>
      </c>
      <c r="H18" s="2">
        <f t="shared" si="22"/>
        <v>-17.794117647058826</v>
      </c>
      <c r="I18" s="2">
        <f t="shared" ref="I18:I39" si="27">E18*(MAX($D$17:$D$39)-D18+0.5)</f>
        <v>215</v>
      </c>
      <c r="J18" s="20">
        <f t="shared" si="23"/>
        <v>11.840982352941175</v>
      </c>
      <c r="K18" s="2">
        <f t="shared" ref="K18:K39" si="28">I18</f>
        <v>215</v>
      </c>
      <c r="L18" s="2">
        <f t="shared" si="24"/>
        <v>215.32582024244715</v>
      </c>
      <c r="M18" s="2">
        <f t="shared" ref="M18:M39" si="29">IF(J18=0,"infinity",ABS(K18/J18))</f>
        <v>18.157277292672958</v>
      </c>
      <c r="N18" s="2">
        <f t="shared" ref="N18:N39" si="30">IF(J18=0,90,ATAN(M18)*180/PI())</f>
        <v>86.847657593720129</v>
      </c>
      <c r="P18" s="4">
        <f t="shared" si="9"/>
        <v>0.53106387247220654</v>
      </c>
      <c r="Q18" s="4">
        <f t="shared" si="10"/>
        <v>0.61058427008160721</v>
      </c>
      <c r="R18" s="4">
        <f t="shared" si="11"/>
        <v>2.8356296025907014E-3</v>
      </c>
      <c r="S18" s="4">
        <f t="shared" si="25"/>
        <v>0.60998726178833029</v>
      </c>
      <c r="T18" s="2">
        <f t="shared" si="26"/>
        <v>225.31135981810297</v>
      </c>
      <c r="U18" s="6">
        <f t="shared" si="12"/>
        <v>0.58295332995217841</v>
      </c>
      <c r="V18" s="4">
        <f t="shared" si="13"/>
        <v>1.0977085058307887</v>
      </c>
      <c r="W18" s="4">
        <f t="shared" si="14"/>
        <v>1.0003534323483803</v>
      </c>
      <c r="X18" s="3">
        <f t="shared" si="15"/>
        <v>33.290143576307536</v>
      </c>
      <c r="Y18" s="8">
        <f t="shared" ref="Y18:Y39" si="31">X18*SIN(N18*PI()/180)</f>
        <v>33.239770599026315</v>
      </c>
      <c r="Z18" s="3">
        <f t="shared" ref="Z18:Z39" si="32">X18*COS(N18*PI()/180)</f>
        <v>1.830658311994805</v>
      </c>
      <c r="AA18" s="3">
        <f t="shared" si="18"/>
        <v>7168.227471557253</v>
      </c>
      <c r="AB18" s="3"/>
      <c r="AC18" s="17">
        <f>stiffener_C_shaped_weld!B86</f>
        <v>126.87231709444447</v>
      </c>
      <c r="AD18" s="3"/>
    </row>
    <row r="19" spans="1:30">
      <c r="A19" s="7">
        <f t="shared" si="2"/>
        <v>490</v>
      </c>
      <c r="B19" s="3">
        <f t="shared" si="2"/>
        <v>-29.635100000000001</v>
      </c>
      <c r="D19" s="1">
        <f t="shared" ref="D19:D39" si="33">D18+1</f>
        <v>14</v>
      </c>
      <c r="E19" s="2">
        <f t="shared" si="20"/>
        <v>10</v>
      </c>
      <c r="F19" s="2">
        <f t="shared" si="20"/>
        <v>10.6799</v>
      </c>
      <c r="G19" s="2">
        <f t="shared" si="3"/>
        <v>7.5518297123942082</v>
      </c>
      <c r="H19" s="2">
        <f t="shared" si="22"/>
        <v>-17.794117647058826</v>
      </c>
      <c r="I19" s="2">
        <f t="shared" si="27"/>
        <v>205</v>
      </c>
      <c r="J19" s="20">
        <f t="shared" si="23"/>
        <v>11.840982352941175</v>
      </c>
      <c r="K19" s="2">
        <f t="shared" si="28"/>
        <v>205</v>
      </c>
      <c r="L19" s="2">
        <f t="shared" si="24"/>
        <v>205.34168807887662</v>
      </c>
      <c r="M19" s="2">
        <f t="shared" si="29"/>
        <v>17.312752767432354</v>
      </c>
      <c r="N19" s="2">
        <f t="shared" si="30"/>
        <v>86.694217926765049</v>
      </c>
      <c r="P19" s="4">
        <f t="shared" si="9"/>
        <v>0.53135769412490252</v>
      </c>
      <c r="Q19" s="4">
        <f t="shared" si="10"/>
        <v>0.61124104753995512</v>
      </c>
      <c r="R19" s="4">
        <f t="shared" si="11"/>
        <v>2.9767021653448319E-3</v>
      </c>
      <c r="S19" s="4">
        <f t="shared" si="25"/>
        <v>0.60998726178833029</v>
      </c>
      <c r="T19" s="2">
        <f t="shared" si="26"/>
        <v>225.31135981810297</v>
      </c>
      <c r="U19" s="6">
        <f t="shared" si="12"/>
        <v>0.55592320841411702</v>
      </c>
      <c r="V19" s="4">
        <f t="shared" si="13"/>
        <v>1.0462315960808126</v>
      </c>
      <c r="W19" s="4">
        <f t="shared" si="14"/>
        <v>1.0008090965357914</v>
      </c>
      <c r="X19" s="3">
        <f t="shared" si="15"/>
        <v>33.302795424683744</v>
      </c>
      <c r="Y19" s="8">
        <f t="shared" si="31"/>
        <v>33.247379652580463</v>
      </c>
      <c r="Z19" s="3">
        <f t="shared" si="32"/>
        <v>1.9203982231597094</v>
      </c>
      <c r="AA19" s="3">
        <f t="shared" si="18"/>
        <v>6838.4522302500482</v>
      </c>
      <c r="AB19" s="14" t="s">
        <v>46</v>
      </c>
      <c r="AC19" s="3"/>
      <c r="AD19" s="3"/>
    </row>
    <row r="20" spans="1:30">
      <c r="A20" s="7">
        <f t="shared" ref="A20:B35" si="34">A19</f>
        <v>490</v>
      </c>
      <c r="B20" s="3">
        <f t="shared" si="34"/>
        <v>-29.635100000000001</v>
      </c>
      <c r="D20" s="1">
        <f t="shared" si="33"/>
        <v>15</v>
      </c>
      <c r="E20" s="2">
        <f t="shared" si="20"/>
        <v>10</v>
      </c>
      <c r="F20" s="2">
        <f t="shared" si="20"/>
        <v>10.6799</v>
      </c>
      <c r="G20" s="2">
        <f t="shared" si="3"/>
        <v>7.5518297123942082</v>
      </c>
      <c r="H20" s="2">
        <f t="shared" si="22"/>
        <v>-17.794117647058826</v>
      </c>
      <c r="I20" s="2">
        <f t="shared" si="27"/>
        <v>195</v>
      </c>
      <c r="J20" s="20">
        <f t="shared" si="23"/>
        <v>11.840982352941175</v>
      </c>
      <c r="K20" s="2">
        <f t="shared" si="28"/>
        <v>195</v>
      </c>
      <c r="L20" s="2">
        <f t="shared" si="24"/>
        <v>195.35917911140663</v>
      </c>
      <c r="M20" s="2">
        <f t="shared" si="29"/>
        <v>16.468228242191753</v>
      </c>
      <c r="N20" s="2">
        <f t="shared" si="30"/>
        <v>86.52509594959318</v>
      </c>
      <c r="P20" s="4">
        <f t="shared" si="9"/>
        <v>0.53168232416619854</v>
      </c>
      <c r="Q20" s="4">
        <f t="shared" si="10"/>
        <v>0.61196703236624006</v>
      </c>
      <c r="R20" s="4">
        <f t="shared" si="11"/>
        <v>3.1325225420672773E-3</v>
      </c>
      <c r="S20" s="4">
        <f t="shared" si="25"/>
        <v>0.60998726178833029</v>
      </c>
      <c r="T20" s="2">
        <f t="shared" si="26"/>
        <v>225.31135981810297</v>
      </c>
      <c r="U20" s="6">
        <f t="shared" si="12"/>
        <v>0.52889748136795134</v>
      </c>
      <c r="V20" s="4">
        <f t="shared" si="13"/>
        <v>0.99476220541539639</v>
      </c>
      <c r="W20" s="4">
        <f t="shared" si="14"/>
        <v>0.99983542725368291</v>
      </c>
      <c r="X20" s="3">
        <f t="shared" si="15"/>
        <v>33.267492018609815</v>
      </c>
      <c r="Y20" s="8">
        <f t="shared" si="31"/>
        <v>33.206327816977101</v>
      </c>
      <c r="Z20" s="3">
        <f t="shared" si="32"/>
        <v>2.0163873932656631</v>
      </c>
      <c r="AA20" s="3">
        <f t="shared" si="18"/>
        <v>6499.109931850885</v>
      </c>
      <c r="AB20" s="14" t="s">
        <v>4</v>
      </c>
      <c r="AC20" s="3"/>
      <c r="AD20" s="3"/>
    </row>
    <row r="21" spans="1:30">
      <c r="A21" s="7">
        <f t="shared" si="34"/>
        <v>490</v>
      </c>
      <c r="B21" s="3">
        <f t="shared" si="34"/>
        <v>-29.635100000000001</v>
      </c>
      <c r="D21" s="1">
        <f t="shared" si="33"/>
        <v>16</v>
      </c>
      <c r="E21" s="2">
        <f t="shared" ref="E21:F36" si="35">E20</f>
        <v>10</v>
      </c>
      <c r="F21" s="2">
        <f t="shared" si="35"/>
        <v>10.6799</v>
      </c>
      <c r="G21" s="2">
        <f t="shared" si="3"/>
        <v>7.5518297123942082</v>
      </c>
      <c r="H21" s="2">
        <f t="shared" si="22"/>
        <v>-17.794117647058826</v>
      </c>
      <c r="I21" s="2">
        <f t="shared" si="27"/>
        <v>185</v>
      </c>
      <c r="J21" s="20">
        <f t="shared" si="23"/>
        <v>11.840982352941175</v>
      </c>
      <c r="K21" s="2">
        <f t="shared" si="28"/>
        <v>185</v>
      </c>
      <c r="L21" s="2">
        <f t="shared" si="24"/>
        <v>185.37855556423634</v>
      </c>
      <c r="M21" s="2">
        <f t="shared" si="29"/>
        <v>15.623703716951148</v>
      </c>
      <c r="N21" s="2">
        <f t="shared" si="30"/>
        <v>86.337761424172328</v>
      </c>
      <c r="P21" s="4">
        <f t="shared" si="9"/>
        <v>0.53204287022873897</v>
      </c>
      <c r="Q21" s="4">
        <f t="shared" si="10"/>
        <v>0.61277375787160382</v>
      </c>
      <c r="R21" s="4">
        <f t="shared" si="11"/>
        <v>3.3055266614118637E-3</v>
      </c>
      <c r="S21" s="4">
        <f t="shared" si="25"/>
        <v>0.60998726178833029</v>
      </c>
      <c r="T21" s="2">
        <f t="shared" si="26"/>
        <v>225.31135981810297</v>
      </c>
      <c r="U21" s="6">
        <f t="shared" si="12"/>
        <v>0.5018768587353708</v>
      </c>
      <c r="V21" s="4">
        <f t="shared" si="13"/>
        <v>0.94330153981689668</v>
      </c>
      <c r="W21" s="4">
        <f t="shared" si="14"/>
        <v>0.99742333617917311</v>
      </c>
      <c r="X21" s="3">
        <f t="shared" si="15"/>
        <v>33.183857796478499</v>
      </c>
      <c r="Y21" s="8">
        <f t="shared" si="31"/>
        <v>33.116094111658271</v>
      </c>
      <c r="Z21" s="3">
        <f t="shared" si="32"/>
        <v>2.1196058701323484</v>
      </c>
      <c r="AA21" s="3">
        <f t="shared" si="18"/>
        <v>6151.5756263602061</v>
      </c>
      <c r="AB21" s="3">
        <f>AB17-B3</f>
        <v>860.36605940475488</v>
      </c>
      <c r="AC21" s="3"/>
      <c r="AD21" s="3"/>
    </row>
    <row r="22" spans="1:30" hidden="1">
      <c r="A22" s="7">
        <f t="shared" si="34"/>
        <v>490</v>
      </c>
      <c r="B22" s="3">
        <f t="shared" si="34"/>
        <v>-29.635100000000001</v>
      </c>
      <c r="D22" s="1">
        <f t="shared" si="33"/>
        <v>17</v>
      </c>
      <c r="E22" s="2">
        <f t="shared" si="35"/>
        <v>10</v>
      </c>
      <c r="F22" s="2">
        <f t="shared" si="35"/>
        <v>10.6799</v>
      </c>
      <c r="G22" s="2">
        <f t="shared" si="3"/>
        <v>7.5518297123942082</v>
      </c>
      <c r="H22" s="2">
        <f t="shared" si="22"/>
        <v>-17.794117647058826</v>
      </c>
      <c r="I22" s="2">
        <f t="shared" si="27"/>
        <v>175</v>
      </c>
      <c r="J22" s="20">
        <f t="shared" si="23"/>
        <v>11.840982352941175</v>
      </c>
      <c r="K22" s="2">
        <f t="shared" si="28"/>
        <v>175</v>
      </c>
      <c r="L22" s="2">
        <f t="shared" si="24"/>
        <v>175.40013929037417</v>
      </c>
      <c r="M22" s="2">
        <f t="shared" si="29"/>
        <v>14.779179191710545</v>
      </c>
      <c r="N22" s="2">
        <f t="shared" si="30"/>
        <v>86.129109738159968</v>
      </c>
      <c r="P22" s="4">
        <f t="shared" si="9"/>
        <v>0.53244563348959917</v>
      </c>
      <c r="Q22" s="4">
        <f t="shared" si="10"/>
        <v>0.61367546718134658</v>
      </c>
      <c r="R22" s="4">
        <f t="shared" si="11"/>
        <v>3.4987171028719056E-3</v>
      </c>
      <c r="S22" s="4">
        <f t="shared" si="25"/>
        <v>0.60998726178833029</v>
      </c>
      <c r="T22" s="2">
        <f t="shared" si="26"/>
        <v>225.31135981810297</v>
      </c>
      <c r="U22" s="6">
        <f t="shared" si="12"/>
        <v>0.47486221187162109</v>
      </c>
      <c r="V22" s="4">
        <f t="shared" si="13"/>
        <v>0.89185107737557789</v>
      </c>
      <c r="W22" s="4">
        <f t="shared" si="14"/>
        <v>0.99354915125866083</v>
      </c>
      <c r="X22" s="3">
        <f t="shared" si="15"/>
        <v>33.051011714738948</v>
      </c>
      <c r="Y22" s="8">
        <f t="shared" si="31"/>
        <v>32.975612639075784</v>
      </c>
      <c r="Z22" s="3">
        <f t="shared" si="32"/>
        <v>2.2312208419241233</v>
      </c>
      <c r="AA22" s="3">
        <f t="shared" si="18"/>
        <v>5797.1520584529999</v>
      </c>
      <c r="AB22" s="3"/>
      <c r="AC22" s="3"/>
      <c r="AD22" s="3"/>
    </row>
    <row r="23" spans="1:30" hidden="1">
      <c r="A23" s="7">
        <f t="shared" si="34"/>
        <v>490</v>
      </c>
      <c r="B23" s="3">
        <f t="shared" si="34"/>
        <v>-29.635100000000001</v>
      </c>
      <c r="D23" s="1">
        <f t="shared" si="33"/>
        <v>18</v>
      </c>
      <c r="E23" s="2">
        <f t="shared" si="35"/>
        <v>10</v>
      </c>
      <c r="F23" s="2">
        <f t="shared" si="35"/>
        <v>10.6799</v>
      </c>
      <c r="G23" s="2">
        <f t="shared" si="3"/>
        <v>7.5518297123942082</v>
      </c>
      <c r="H23" s="2">
        <f t="shared" si="22"/>
        <v>-17.794117647058826</v>
      </c>
      <c r="I23" s="2">
        <f t="shared" si="27"/>
        <v>165</v>
      </c>
      <c r="J23" s="20">
        <f t="shared" si="23"/>
        <v>11.840982352941175</v>
      </c>
      <c r="K23" s="2">
        <f t="shared" si="28"/>
        <v>165</v>
      </c>
      <c r="L23" s="2">
        <f t="shared" si="24"/>
        <v>165.42432971930901</v>
      </c>
      <c r="M23" s="2">
        <f t="shared" si="29"/>
        <v>13.934654666469944</v>
      </c>
      <c r="N23" s="2">
        <f t="shared" si="30"/>
        <v>85.895289416181086</v>
      </c>
      <c r="P23" s="4">
        <f t="shared" si="9"/>
        <v>0.53289847841058557</v>
      </c>
      <c r="Q23" s="4">
        <f t="shared" si="10"/>
        <v>0.61468995753317512</v>
      </c>
      <c r="R23" s="4">
        <f t="shared" si="11"/>
        <v>3.7158376798393398E-3</v>
      </c>
      <c r="S23" s="4">
        <f t="shared" si="25"/>
        <v>0.60998726178833029</v>
      </c>
      <c r="T23" s="2">
        <f t="shared" si="26"/>
        <v>225.31135981810297</v>
      </c>
      <c r="U23" s="6">
        <f t="shared" si="12"/>
        <v>0.4478546221553793</v>
      </c>
      <c r="V23" s="4">
        <f t="shared" si="13"/>
        <v>0.84041264949966321</v>
      </c>
      <c r="W23" s="4">
        <f t="shared" si="14"/>
        <v>0.98817367083254337</v>
      </c>
      <c r="X23" s="3">
        <f t="shared" si="15"/>
        <v>32.867528814675744</v>
      </c>
      <c r="Y23" s="8">
        <f t="shared" si="31"/>
        <v>32.783220361983346</v>
      </c>
      <c r="Z23" s="3">
        <f t="shared" si="32"/>
        <v>2.3526395986595512</v>
      </c>
      <c r="AA23" s="3">
        <f t="shared" si="18"/>
        <v>5437.0889236978101</v>
      </c>
      <c r="AB23" s="3"/>
      <c r="AC23" s="3"/>
      <c r="AD23" s="3"/>
    </row>
    <row r="24" spans="1:30" hidden="1">
      <c r="A24" s="7">
        <f t="shared" si="34"/>
        <v>490</v>
      </c>
      <c r="B24" s="3">
        <f t="shared" si="34"/>
        <v>-29.635100000000001</v>
      </c>
      <c r="D24" s="1">
        <f t="shared" si="33"/>
        <v>19</v>
      </c>
      <c r="E24" s="2">
        <f t="shared" si="35"/>
        <v>10</v>
      </c>
      <c r="F24" s="2">
        <f t="shared" si="35"/>
        <v>10.6799</v>
      </c>
      <c r="G24" s="2">
        <f t="shared" si="3"/>
        <v>7.5518297123942082</v>
      </c>
      <c r="H24" s="2">
        <f t="shared" si="22"/>
        <v>-17.794117647058826</v>
      </c>
      <c r="I24" s="2">
        <f t="shared" si="27"/>
        <v>155</v>
      </c>
      <c r="J24" s="20">
        <f t="shared" si="23"/>
        <v>11.840982352941175</v>
      </c>
      <c r="K24" s="2">
        <f t="shared" si="28"/>
        <v>155</v>
      </c>
      <c r="L24" s="2">
        <f t="shared" si="24"/>
        <v>155.45162869228056</v>
      </c>
      <c r="M24" s="2">
        <f t="shared" si="29"/>
        <v>13.090130141229341</v>
      </c>
      <c r="N24" s="2">
        <f t="shared" si="30"/>
        <v>85.631463630113629</v>
      </c>
      <c r="P24" s="4">
        <f t="shared" si="9"/>
        <v>0.53341134877569685</v>
      </c>
      <c r="Q24" s="4">
        <f t="shared" si="10"/>
        <v>0.61583976068756052</v>
      </c>
      <c r="R24" s="4">
        <f t="shared" si="11"/>
        <v>3.9616166512261314E-3</v>
      </c>
      <c r="S24" s="4">
        <f t="shared" si="25"/>
        <v>0.60998726178833029</v>
      </c>
      <c r="T24" s="2">
        <f t="shared" si="26"/>
        <v>225.31135981810297</v>
      </c>
      <c r="U24" s="6">
        <f t="shared" si="12"/>
        <v>0.42085544822548149</v>
      </c>
      <c r="V24" s="4">
        <f t="shared" si="13"/>
        <v>0.78898855300218618</v>
      </c>
      <c r="W24" s="4">
        <f t="shared" si="14"/>
        <v>0.98124052937505735</v>
      </c>
      <c r="X24" s="3">
        <f t="shared" si="15"/>
        <v>32.631375843739427</v>
      </c>
      <c r="Y24" s="8">
        <f t="shared" si="31"/>
        <v>32.536572941231434</v>
      </c>
      <c r="Z24" s="3">
        <f t="shared" si="32"/>
        <v>2.4855805549826111</v>
      </c>
      <c r="AA24" s="3">
        <f t="shared" si="18"/>
        <v>5072.600521379235</v>
      </c>
      <c r="AB24" s="3"/>
      <c r="AC24" s="3"/>
      <c r="AD24" s="3"/>
    </row>
    <row r="25" spans="1:30" hidden="1">
      <c r="A25" s="7">
        <f t="shared" si="34"/>
        <v>490</v>
      </c>
      <c r="B25" s="3">
        <f t="shared" si="34"/>
        <v>-29.635100000000001</v>
      </c>
      <c r="D25" s="1">
        <f t="shared" si="33"/>
        <v>20</v>
      </c>
      <c r="E25" s="2">
        <f t="shared" si="35"/>
        <v>10</v>
      </c>
      <c r="F25" s="2">
        <f t="shared" si="35"/>
        <v>10.6799</v>
      </c>
      <c r="G25" s="2">
        <f t="shared" si="3"/>
        <v>7.5518297123942082</v>
      </c>
      <c r="H25" s="2">
        <f t="shared" si="22"/>
        <v>-17.794117647058826</v>
      </c>
      <c r="I25" s="2">
        <f t="shared" si="27"/>
        <v>145</v>
      </c>
      <c r="J25" s="20">
        <f t="shared" si="23"/>
        <v>11.840982352941175</v>
      </c>
      <c r="K25" s="2">
        <f t="shared" si="28"/>
        <v>145</v>
      </c>
      <c r="L25" s="2">
        <f t="shared" si="24"/>
        <v>145.48267547403253</v>
      </c>
      <c r="M25" s="2">
        <f t="shared" si="29"/>
        <v>12.245605615988739</v>
      </c>
      <c r="N25" s="2">
        <f t="shared" si="30"/>
        <v>85.331474309331313</v>
      </c>
      <c r="P25" s="4">
        <f t="shared" si="9"/>
        <v>0.53399700220220436</v>
      </c>
      <c r="Q25" s="4">
        <f t="shared" si="10"/>
        <v>0.61715382635456562</v>
      </c>
      <c r="R25" s="4">
        <f t="shared" si="11"/>
        <v>4.2421121576412205E-3</v>
      </c>
      <c r="S25" s="4">
        <f t="shared" si="25"/>
        <v>0.60998726178833029</v>
      </c>
      <c r="T25" s="2">
        <f t="shared" si="26"/>
        <v>225.31135981810297</v>
      </c>
      <c r="U25" s="6">
        <f t="shared" si="12"/>
        <v>0.39386642076852452</v>
      </c>
      <c r="V25" s="4">
        <f t="shared" si="13"/>
        <v>0.73758170765794351</v>
      </c>
      <c r="W25" s="4">
        <f t="shared" si="14"/>
        <v>0.97267372048484868</v>
      </c>
      <c r="X25" s="3">
        <f t="shared" si="15"/>
        <v>32.339814177102966</v>
      </c>
      <c r="Y25" s="8">
        <f t="shared" si="31"/>
        <v>32.232518685820615</v>
      </c>
      <c r="Z25" s="3">
        <f t="shared" si="32"/>
        <v>2.6321702410320618</v>
      </c>
      <c r="AA25" s="3">
        <f t="shared" si="18"/>
        <v>4704.8826908179872</v>
      </c>
      <c r="AB25" s="3"/>
      <c r="AC25" s="3"/>
      <c r="AD25" s="3"/>
    </row>
    <row r="26" spans="1:30" hidden="1">
      <c r="A26" s="7">
        <f t="shared" si="34"/>
        <v>490</v>
      </c>
      <c r="B26" s="3">
        <f t="shared" si="34"/>
        <v>-29.635100000000001</v>
      </c>
      <c r="D26" s="1">
        <f t="shared" si="33"/>
        <v>21</v>
      </c>
      <c r="E26" s="2">
        <f t="shared" si="35"/>
        <v>10</v>
      </c>
      <c r="F26" s="2">
        <f t="shared" si="35"/>
        <v>10.6799</v>
      </c>
      <c r="G26" s="2">
        <f t="shared" si="3"/>
        <v>7.5518297123942082</v>
      </c>
      <c r="H26" s="2">
        <f t="shared" si="22"/>
        <v>-17.794117647058826</v>
      </c>
      <c r="I26" s="2">
        <f t="shared" si="27"/>
        <v>135</v>
      </c>
      <c r="J26" s="20">
        <f t="shared" si="23"/>
        <v>11.840982352941175</v>
      </c>
      <c r="K26" s="2">
        <f t="shared" si="28"/>
        <v>135</v>
      </c>
      <c r="L26" s="2">
        <f t="shared" si="24"/>
        <v>135.51829715238702</v>
      </c>
      <c r="M26" s="2">
        <f t="shared" si="29"/>
        <v>11.401081090748136</v>
      </c>
      <c r="N26" s="2">
        <f t="shared" si="30"/>
        <v>84.987359184093933</v>
      </c>
      <c r="P26" s="4">
        <f t="shared" si="9"/>
        <v>0.53467207899774027</v>
      </c>
      <c r="Q26" s="4">
        <f t="shared" si="10"/>
        <v>0.61866997729295703</v>
      </c>
      <c r="R26" s="4">
        <f t="shared" si="11"/>
        <v>4.5652136301364363E-3</v>
      </c>
      <c r="S26" s="4">
        <f t="shared" si="25"/>
        <v>0.60998726178833029</v>
      </c>
      <c r="T26" s="2">
        <f t="shared" si="26"/>
        <v>225.31135981810297</v>
      </c>
      <c r="U26" s="6">
        <f t="shared" si="12"/>
        <v>0.36688977896604058</v>
      </c>
      <c r="V26" s="4">
        <f t="shared" si="13"/>
        <v>0.68619588225700334</v>
      </c>
      <c r="W26" s="4">
        <f t="shared" si="14"/>
        <v>0.96237402694769625</v>
      </c>
      <c r="X26" s="3">
        <f t="shared" si="15"/>
        <v>31.989259052121472</v>
      </c>
      <c r="Y26" s="8">
        <f t="shared" si="31"/>
        <v>31.866914378213409</v>
      </c>
      <c r="Z26" s="3">
        <f t="shared" si="32"/>
        <v>2.7950783021860146</v>
      </c>
      <c r="AA26" s="3">
        <f t="shared" si="18"/>
        <v>4335.1299139100838</v>
      </c>
      <c r="AB26" s="3"/>
      <c r="AC26" s="3"/>
      <c r="AD26" s="3"/>
    </row>
    <row r="27" spans="1:30" hidden="1">
      <c r="A27" s="7">
        <f t="shared" si="34"/>
        <v>490</v>
      </c>
      <c r="B27" s="3">
        <f t="shared" si="34"/>
        <v>-29.635100000000001</v>
      </c>
      <c r="D27" s="1">
        <f t="shared" si="33"/>
        <v>22</v>
      </c>
      <c r="E27" s="2">
        <f t="shared" si="35"/>
        <v>10</v>
      </c>
      <c r="F27" s="2">
        <f t="shared" si="35"/>
        <v>10.6799</v>
      </c>
      <c r="G27" s="2">
        <f t="shared" si="3"/>
        <v>7.5518297123942082</v>
      </c>
      <c r="H27" s="2">
        <f t="shared" si="22"/>
        <v>-17.794117647058826</v>
      </c>
      <c r="I27" s="2">
        <f t="shared" si="27"/>
        <v>125</v>
      </c>
      <c r="J27" s="20">
        <f t="shared" si="23"/>
        <v>11.840982352941175</v>
      </c>
      <c r="K27" s="2">
        <f t="shared" si="28"/>
        <v>125</v>
      </c>
      <c r="L27" s="2">
        <f t="shared" si="24"/>
        <v>125.55958292015255</v>
      </c>
      <c r="M27" s="2">
        <f t="shared" si="29"/>
        <v>10.556556565507533</v>
      </c>
      <c r="N27" s="2">
        <f t="shared" si="30"/>
        <v>84.588640973829129</v>
      </c>
      <c r="P27" s="4">
        <f t="shared" si="9"/>
        <v>0.53545869705740823</v>
      </c>
      <c r="Q27" s="4">
        <f t="shared" si="10"/>
        <v>0.6204385818627921</v>
      </c>
      <c r="R27" s="4">
        <f t="shared" si="11"/>
        <v>4.9413877255179263E-3</v>
      </c>
      <c r="S27" s="4">
        <f t="shared" si="25"/>
        <v>0.60998726178833029</v>
      </c>
      <c r="T27" s="2">
        <f t="shared" si="26"/>
        <v>225.31135981810297</v>
      </c>
      <c r="U27" s="6">
        <f t="shared" si="12"/>
        <v>0.33992847159850548</v>
      </c>
      <c r="V27" s="4">
        <f t="shared" si="13"/>
        <v>0.6348360265069346</v>
      </c>
      <c r="W27" s="4">
        <f t="shared" si="14"/>
        <v>0.9502139660074963</v>
      </c>
      <c r="X27" s="3">
        <f t="shared" si="15"/>
        <v>31.57507756034121</v>
      </c>
      <c r="Y27" s="8">
        <f t="shared" si="31"/>
        <v>31.434356528187934</v>
      </c>
      <c r="Z27" s="3">
        <f t="shared" si="32"/>
        <v>2.9777092874106748</v>
      </c>
      <c r="AA27" s="3">
        <f t="shared" si="18"/>
        <v>3964.5535691479104</v>
      </c>
      <c r="AB27" s="3"/>
      <c r="AC27" s="3"/>
      <c r="AD27" s="3"/>
    </row>
    <row r="28" spans="1:30" hidden="1">
      <c r="A28" s="7">
        <f t="shared" si="34"/>
        <v>490</v>
      </c>
      <c r="B28" s="3">
        <f t="shared" si="34"/>
        <v>-29.635100000000001</v>
      </c>
      <c r="D28" s="1">
        <f t="shared" si="33"/>
        <v>23</v>
      </c>
      <c r="E28" s="2">
        <f t="shared" si="35"/>
        <v>10</v>
      </c>
      <c r="F28" s="2">
        <f t="shared" si="35"/>
        <v>10.6799</v>
      </c>
      <c r="G28" s="2">
        <f t="shared" si="3"/>
        <v>7.5518297123942082</v>
      </c>
      <c r="H28" s="2">
        <f t="shared" si="22"/>
        <v>-17.794117647058826</v>
      </c>
      <c r="I28" s="2">
        <f t="shared" si="27"/>
        <v>115</v>
      </c>
      <c r="J28" s="20">
        <f t="shared" si="23"/>
        <v>11.840982352941175</v>
      </c>
      <c r="K28" s="2">
        <f t="shared" si="28"/>
        <v>115</v>
      </c>
      <c r="L28" s="2">
        <f t="shared" si="24"/>
        <v>115.60799653606433</v>
      </c>
      <c r="M28" s="2">
        <f t="shared" si="29"/>
        <v>9.71203204026693</v>
      </c>
      <c r="N28" s="2">
        <f t="shared" si="30"/>
        <v>84.121253096910735</v>
      </c>
      <c r="P28" s="4">
        <f t="shared" si="9"/>
        <v>0.53638690094771801</v>
      </c>
      <c r="Q28" s="4">
        <f t="shared" si="10"/>
        <v>0.62252820974167711</v>
      </c>
      <c r="R28" s="4">
        <f t="shared" si="11"/>
        <v>5.3848196352704472E-3</v>
      </c>
      <c r="S28" s="4">
        <f t="shared" si="25"/>
        <v>0.60998726178833029</v>
      </c>
      <c r="T28" s="2">
        <f t="shared" si="26"/>
        <v>225.31135981810297</v>
      </c>
      <c r="U28" s="6">
        <f t="shared" si="12"/>
        <v>0.31298646151174964</v>
      </c>
      <c r="V28" s="4">
        <f t="shared" si="13"/>
        <v>0.58350877129689005</v>
      </c>
      <c r="W28" s="4">
        <f t="shared" si="14"/>
        <v>0.93603063735310588</v>
      </c>
      <c r="X28" s="3">
        <f t="shared" si="15"/>
        <v>31.0912970909915</v>
      </c>
      <c r="Y28" s="8">
        <f t="shared" si="31"/>
        <v>30.927784172339951</v>
      </c>
      <c r="Z28" s="3">
        <f t="shared" si="32"/>
        <v>3.1844812747847895</v>
      </c>
      <c r="AA28" s="3">
        <f t="shared" si="18"/>
        <v>3594.4025663970924</v>
      </c>
      <c r="AB28" s="3"/>
      <c r="AC28" s="3"/>
      <c r="AD28" s="3"/>
    </row>
    <row r="29" spans="1:30" hidden="1">
      <c r="A29" s="7">
        <f t="shared" si="34"/>
        <v>490</v>
      </c>
      <c r="B29" s="3">
        <f t="shared" si="34"/>
        <v>-29.635100000000001</v>
      </c>
      <c r="D29" s="1">
        <f t="shared" si="33"/>
        <v>24</v>
      </c>
      <c r="E29" s="2">
        <f t="shared" si="35"/>
        <v>10</v>
      </c>
      <c r="F29" s="2">
        <f t="shared" si="35"/>
        <v>10.6799</v>
      </c>
      <c r="G29" s="2">
        <f t="shared" si="3"/>
        <v>7.5518297123942082</v>
      </c>
      <c r="H29" s="2">
        <f t="shared" si="22"/>
        <v>-17.794117647058826</v>
      </c>
      <c r="I29" s="2">
        <f t="shared" si="27"/>
        <v>105</v>
      </c>
      <c r="J29" s="20">
        <f t="shared" si="23"/>
        <v>11.840982352941175</v>
      </c>
      <c r="K29" s="2">
        <f t="shared" si="28"/>
        <v>105</v>
      </c>
      <c r="L29" s="2">
        <f t="shared" si="24"/>
        <v>105.66555192248164</v>
      </c>
      <c r="M29" s="2">
        <f t="shared" si="29"/>
        <v>8.8675075150263272</v>
      </c>
      <c r="N29" s="2">
        <f t="shared" si="30"/>
        <v>83.565865896637504</v>
      </c>
      <c r="P29" s="4">
        <f t="shared" si="9"/>
        <v>0.53749854935473307</v>
      </c>
      <c r="Q29" s="4">
        <f t="shared" si="10"/>
        <v>0.62503463933673242</v>
      </c>
      <c r="R29" s="4">
        <f t="shared" si="11"/>
        <v>5.9152167188344443E-3</v>
      </c>
      <c r="S29" s="4">
        <f t="shared" si="25"/>
        <v>0.60998726178833029</v>
      </c>
      <c r="T29" s="2">
        <f t="shared" si="26"/>
        <v>225.31135981810297</v>
      </c>
      <c r="U29" s="6">
        <f t="shared" si="12"/>
        <v>0.28606920101402061</v>
      </c>
      <c r="V29" s="4">
        <f t="shared" si="13"/>
        <v>0.53222320573226967</v>
      </c>
      <c r="W29" s="4">
        <f t="shared" si="14"/>
        <v>0.91961550326111341</v>
      </c>
      <c r="X29" s="3">
        <f t="shared" si="15"/>
        <v>30.530177471431454</v>
      </c>
      <c r="Y29" s="8">
        <f t="shared" si="31"/>
        <v>30.337878108582117</v>
      </c>
      <c r="Z29" s="3">
        <f t="shared" si="32"/>
        <v>3.4212407553276249</v>
      </c>
      <c r="AA29" s="3">
        <f t="shared" si="18"/>
        <v>3225.9880528101194</v>
      </c>
      <c r="AB29" s="3"/>
      <c r="AC29" s="3"/>
      <c r="AD29" s="3"/>
    </row>
    <row r="30" spans="1:30" hidden="1">
      <c r="A30" s="7">
        <f t="shared" si="34"/>
        <v>490</v>
      </c>
      <c r="B30" s="3">
        <f t="shared" si="34"/>
        <v>-29.635100000000001</v>
      </c>
      <c r="D30" s="1">
        <f t="shared" si="33"/>
        <v>25</v>
      </c>
      <c r="E30" s="2">
        <f t="shared" si="35"/>
        <v>10</v>
      </c>
      <c r="F30" s="2">
        <f t="shared" si="35"/>
        <v>10.6799</v>
      </c>
      <c r="G30" s="2">
        <f t="shared" si="3"/>
        <v>7.5518297123942082</v>
      </c>
      <c r="H30" s="2">
        <f t="shared" si="22"/>
        <v>-17.794117647058826</v>
      </c>
      <c r="I30" s="2">
        <f t="shared" si="27"/>
        <v>95</v>
      </c>
      <c r="J30" s="20">
        <f t="shared" si="23"/>
        <v>11.840982352941175</v>
      </c>
      <c r="K30" s="2">
        <f t="shared" si="28"/>
        <v>95</v>
      </c>
      <c r="L30" s="2">
        <f t="shared" si="24"/>
        <v>95.735097342002348</v>
      </c>
      <c r="M30" s="2">
        <f t="shared" si="29"/>
        <v>8.0229829897857243</v>
      </c>
      <c r="N30" s="2">
        <f t="shared" si="30"/>
        <v>82.895185403212764</v>
      </c>
      <c r="P30" s="4">
        <f t="shared" si="9"/>
        <v>0.53885372920917696</v>
      </c>
      <c r="Q30" s="4">
        <f t="shared" si="10"/>
        <v>0.62809577824461171</v>
      </c>
      <c r="R30" s="4">
        <f t="shared" si="11"/>
        <v>6.5607681580017998E-3</v>
      </c>
      <c r="S30" s="4">
        <f t="shared" si="25"/>
        <v>0.60998726178833029</v>
      </c>
      <c r="T30" s="2">
        <f t="shared" si="26"/>
        <v>225.31135981810297</v>
      </c>
      <c r="U30" s="6">
        <f t="shared" si="12"/>
        <v>0.2591844012296235</v>
      </c>
      <c r="V30" s="4">
        <f t="shared" si="13"/>
        <v>0.48099212676880448</v>
      </c>
      <c r="W30" s="4">
        <f t="shared" si="14"/>
        <v>0.90069952700459477</v>
      </c>
      <c r="X30" s="3">
        <f t="shared" si="15"/>
        <v>29.881566851638699</v>
      </c>
      <c r="Y30" s="8">
        <f t="shared" si="31"/>
        <v>29.652122677272484</v>
      </c>
      <c r="Z30" s="3">
        <f t="shared" si="32"/>
        <v>3.6958974878824229</v>
      </c>
      <c r="AA30" s="3">
        <f t="shared" si="18"/>
        <v>2860.7147112731814</v>
      </c>
      <c r="AB30" s="3"/>
      <c r="AC30" s="3"/>
      <c r="AD30" s="3"/>
    </row>
    <row r="31" spans="1:30" hidden="1">
      <c r="A31" s="7">
        <f t="shared" si="34"/>
        <v>490</v>
      </c>
      <c r="B31" s="3">
        <f t="shared" si="34"/>
        <v>-29.635100000000001</v>
      </c>
      <c r="D31" s="1">
        <f t="shared" si="33"/>
        <v>26</v>
      </c>
      <c r="E31" s="2">
        <f t="shared" si="35"/>
        <v>10</v>
      </c>
      <c r="F31" s="2">
        <f t="shared" si="35"/>
        <v>10.6799</v>
      </c>
      <c r="G31" s="2">
        <f t="shared" si="3"/>
        <v>7.5518297123942082</v>
      </c>
      <c r="H31" s="2">
        <f t="shared" si="22"/>
        <v>-17.794117647058826</v>
      </c>
      <c r="I31" s="2">
        <f t="shared" si="27"/>
        <v>85</v>
      </c>
      <c r="J31" s="20">
        <f t="shared" si="23"/>
        <v>11.840982352941175</v>
      </c>
      <c r="K31" s="2">
        <f t="shared" si="28"/>
        <v>85</v>
      </c>
      <c r="L31" s="2">
        <f t="shared" si="24"/>
        <v>85.82079505039944</v>
      </c>
      <c r="M31" s="2">
        <f t="shared" si="29"/>
        <v>7.1784584645451224</v>
      </c>
      <c r="N31" s="2">
        <f t="shared" si="30"/>
        <v>82.069410490216725</v>
      </c>
      <c r="P31" s="4">
        <f t="shared" si="9"/>
        <v>0.54054183508676934</v>
      </c>
      <c r="Q31" s="4">
        <f t="shared" si="10"/>
        <v>0.6319175576423598</v>
      </c>
      <c r="R31" s="4">
        <f t="shared" si="11"/>
        <v>7.3632219006041317E-3</v>
      </c>
      <c r="S31" s="4">
        <f t="shared" si="25"/>
        <v>0.60998726178833029</v>
      </c>
      <c r="T31" s="2">
        <f t="shared" si="26"/>
        <v>225.31135981810297</v>
      </c>
      <c r="U31" s="6">
        <f t="shared" si="12"/>
        <v>0.23234333066718518</v>
      </c>
      <c r="V31" s="4">
        <f t="shared" si="13"/>
        <v>0.42983413232000584</v>
      </c>
      <c r="W31" s="4">
        <f t="shared" si="14"/>
        <v>0.87893104065492855</v>
      </c>
      <c r="X31" s="3">
        <f t="shared" si="15"/>
        <v>29.131898455744096</v>
      </c>
      <c r="Y31" s="8">
        <f t="shared" si="31"/>
        <v>28.85327929302052</v>
      </c>
      <c r="Z31" s="3">
        <f t="shared" si="32"/>
        <v>4.0194255403898769</v>
      </c>
      <c r="AA31" s="3">
        <f t="shared" si="18"/>
        <v>2500.1226867994619</v>
      </c>
      <c r="AB31" s="3"/>
      <c r="AC31" s="3"/>
      <c r="AD31" s="3"/>
    </row>
    <row r="32" spans="1:30" hidden="1">
      <c r="A32" s="7">
        <f t="shared" si="34"/>
        <v>490</v>
      </c>
      <c r="B32" s="3">
        <f t="shared" si="34"/>
        <v>-29.635100000000001</v>
      </c>
      <c r="D32" s="1">
        <f t="shared" si="33"/>
        <v>27</v>
      </c>
      <c r="E32" s="2">
        <f t="shared" si="35"/>
        <v>10</v>
      </c>
      <c r="F32" s="2">
        <f t="shared" si="35"/>
        <v>10.6799</v>
      </c>
      <c r="G32" s="2">
        <f t="shared" si="3"/>
        <v>7.5518297123942082</v>
      </c>
      <c r="H32" s="2">
        <f t="shared" si="22"/>
        <v>-17.794117647058826</v>
      </c>
      <c r="I32" s="2">
        <f t="shared" si="27"/>
        <v>75</v>
      </c>
      <c r="J32" s="20">
        <f t="shared" si="23"/>
        <v>11.840982352941175</v>
      </c>
      <c r="K32" s="2">
        <f t="shared" si="28"/>
        <v>75</v>
      </c>
      <c r="L32" s="2">
        <f t="shared" si="24"/>
        <v>75.928972487994756</v>
      </c>
      <c r="M32" s="2">
        <f t="shared" si="29"/>
        <v>6.3339339393045195</v>
      </c>
      <c r="N32" s="2">
        <f t="shared" si="30"/>
        <v>81.028210360866282</v>
      </c>
      <c r="P32" s="4">
        <f t="shared" si="9"/>
        <v>0.54270179212588165</v>
      </c>
      <c r="Q32" s="4">
        <f t="shared" si="10"/>
        <v>0.6368214686461191</v>
      </c>
      <c r="R32" s="4">
        <f t="shared" si="11"/>
        <v>8.3870681740992603E-3</v>
      </c>
      <c r="S32" s="4">
        <f t="shared" si="25"/>
        <v>0.60998726178833029</v>
      </c>
      <c r="T32" s="2">
        <f t="shared" si="26"/>
        <v>225.31135981810297</v>
      </c>
      <c r="U32" s="6">
        <f t="shared" si="12"/>
        <v>0.20556311965692592</v>
      </c>
      <c r="V32" s="4">
        <f t="shared" si="13"/>
        <v>0.37877730024013778</v>
      </c>
      <c r="W32" s="4">
        <f t="shared" si="14"/>
        <v>0.85384179742962196</v>
      </c>
      <c r="X32" s="3">
        <f t="shared" si="15"/>
        <v>28.262558762266352</v>
      </c>
      <c r="Y32" s="8">
        <f t="shared" si="31"/>
        <v>27.916773238372532</v>
      </c>
      <c r="Z32" s="3">
        <f t="shared" si="32"/>
        <v>4.4074935902217351</v>
      </c>
      <c r="AA32" s="3">
        <f t="shared" si="18"/>
        <v>2145.9470467004571</v>
      </c>
      <c r="AB32" s="3"/>
      <c r="AC32" s="3"/>
      <c r="AD32" s="3"/>
    </row>
    <row r="33" spans="1:30" hidden="1">
      <c r="A33" s="7">
        <f t="shared" si="34"/>
        <v>490</v>
      </c>
      <c r="B33" s="3">
        <f t="shared" si="34"/>
        <v>-29.635100000000001</v>
      </c>
      <c r="D33" s="1">
        <f t="shared" si="33"/>
        <v>28</v>
      </c>
      <c r="E33" s="2">
        <f t="shared" si="35"/>
        <v>10</v>
      </c>
      <c r="F33" s="2">
        <f t="shared" si="35"/>
        <v>10.6799</v>
      </c>
      <c r="G33" s="2">
        <f t="shared" si="3"/>
        <v>7.5518297123942082</v>
      </c>
      <c r="H33" s="2">
        <f t="shared" si="22"/>
        <v>-17.794117647058826</v>
      </c>
      <c r="I33" s="2">
        <f t="shared" si="27"/>
        <v>65</v>
      </c>
      <c r="J33" s="20">
        <f t="shared" si="23"/>
        <v>11.840982352941175</v>
      </c>
      <c r="K33" s="2">
        <f t="shared" si="28"/>
        <v>65</v>
      </c>
      <c r="L33" s="2">
        <f t="shared" si="24"/>
        <v>66.069727281733691</v>
      </c>
      <c r="M33" s="2">
        <f t="shared" si="29"/>
        <v>5.4894094140639176</v>
      </c>
      <c r="N33" s="2">
        <f t="shared" si="30"/>
        <v>79.67569980328301</v>
      </c>
      <c r="P33" s="4">
        <f t="shared" si="9"/>
        <v>0.54556155152453201</v>
      </c>
      <c r="Q33" s="4">
        <f t="shared" si="10"/>
        <v>0.64333806878910249</v>
      </c>
      <c r="R33" s="4">
        <f t="shared" si="11"/>
        <v>9.7372593358193912E-3</v>
      </c>
      <c r="S33" s="4">
        <f t="shared" si="25"/>
        <v>0.60998726178833029</v>
      </c>
      <c r="T33" s="2">
        <f t="shared" si="26"/>
        <v>225.31135981810297</v>
      </c>
      <c r="U33" s="6">
        <f t="shared" si="12"/>
        <v>0.17887110558572192</v>
      </c>
      <c r="V33" s="4">
        <f t="shared" si="13"/>
        <v>0.32786604020367571</v>
      </c>
      <c r="W33" s="4">
        <f t="shared" si="14"/>
        <v>0.82479305075220966</v>
      </c>
      <c r="X33" s="3">
        <f t="shared" si="15"/>
        <v>27.247084768100258</v>
      </c>
      <c r="Y33" s="8">
        <f t="shared" si="31"/>
        <v>26.805930382826968</v>
      </c>
      <c r="Z33" s="3">
        <f t="shared" si="32"/>
        <v>4.8832084402649789</v>
      </c>
      <c r="AA33" s="3">
        <f t="shared" si="18"/>
        <v>1800.2074598506642</v>
      </c>
      <c r="AB33" s="3"/>
      <c r="AC33" s="3"/>
      <c r="AD33" s="3"/>
    </row>
    <row r="34" spans="1:30" hidden="1">
      <c r="A34" s="7">
        <f t="shared" si="34"/>
        <v>490</v>
      </c>
      <c r="B34" s="3">
        <f t="shared" si="34"/>
        <v>-29.635100000000001</v>
      </c>
      <c r="D34" s="1">
        <f t="shared" si="33"/>
        <v>29</v>
      </c>
      <c r="E34" s="2">
        <f t="shared" si="35"/>
        <v>10</v>
      </c>
      <c r="F34" s="2">
        <f t="shared" si="35"/>
        <v>10.6799</v>
      </c>
      <c r="G34" s="2">
        <f t="shared" si="3"/>
        <v>7.5518297123942082</v>
      </c>
      <c r="H34" s="2">
        <f t="shared" si="22"/>
        <v>-17.794117647058826</v>
      </c>
      <c r="I34" s="2">
        <f t="shared" si="27"/>
        <v>55</v>
      </c>
      <c r="J34" s="20">
        <f t="shared" si="23"/>
        <v>11.840982352941175</v>
      </c>
      <c r="K34" s="2">
        <f t="shared" si="28"/>
        <v>55</v>
      </c>
      <c r="L34" s="2">
        <f t="shared" si="24"/>
        <v>56.260188971266921</v>
      </c>
      <c r="M34" s="2">
        <f t="shared" si="29"/>
        <v>4.6448848888233147</v>
      </c>
      <c r="N34" s="2">
        <f t="shared" si="30"/>
        <v>77.850206918809235</v>
      </c>
      <c r="P34" s="4">
        <f t="shared" si="9"/>
        <v>0.54952206791964997</v>
      </c>
      <c r="Q34" s="4">
        <f t="shared" si="10"/>
        <v>0.65240764302291321</v>
      </c>
      <c r="R34" s="4">
        <f t="shared" si="11"/>
        <v>1.1596257583779346E-2</v>
      </c>
      <c r="S34" s="4">
        <f t="shared" si="25"/>
        <v>0.60998726178833029</v>
      </c>
      <c r="T34" s="2">
        <f t="shared" si="26"/>
        <v>225.31135981810297</v>
      </c>
      <c r="U34" s="6">
        <f t="shared" si="12"/>
        <v>0.15231366339443575</v>
      </c>
      <c r="V34" s="4">
        <f t="shared" si="13"/>
        <v>0.27717478930565304</v>
      </c>
      <c r="W34" s="4">
        <f t="shared" si="14"/>
        <v>0.7908864705108829</v>
      </c>
      <c r="X34" s="3">
        <f t="shared" si="15"/>
        <v>26.046008845070457</v>
      </c>
      <c r="Y34" s="8">
        <f t="shared" si="31"/>
        <v>25.462596423387307</v>
      </c>
      <c r="Z34" s="3">
        <f t="shared" si="32"/>
        <v>5.4818573619889559</v>
      </c>
      <c r="AA34" s="3">
        <f t="shared" si="18"/>
        <v>1465.3533795709536</v>
      </c>
      <c r="AB34" s="3"/>
      <c r="AC34" s="3"/>
      <c r="AD34" s="3"/>
    </row>
    <row r="35" spans="1:30" hidden="1">
      <c r="A35" s="7">
        <f t="shared" si="34"/>
        <v>490</v>
      </c>
      <c r="B35" s="3">
        <f t="shared" si="34"/>
        <v>-29.635100000000001</v>
      </c>
      <c r="D35" s="1">
        <f t="shared" si="33"/>
        <v>30</v>
      </c>
      <c r="E35" s="2">
        <f t="shared" si="35"/>
        <v>10</v>
      </c>
      <c r="F35" s="2">
        <f t="shared" si="35"/>
        <v>10.6799</v>
      </c>
      <c r="G35" s="2">
        <f t="shared" si="3"/>
        <v>7.5518297123942082</v>
      </c>
      <c r="H35" s="2">
        <f t="shared" si="22"/>
        <v>-17.794117647058826</v>
      </c>
      <c r="I35" s="2">
        <f t="shared" si="27"/>
        <v>45</v>
      </c>
      <c r="J35" s="20">
        <f t="shared" si="23"/>
        <v>11.840982352941175</v>
      </c>
      <c r="K35" s="2">
        <f t="shared" si="28"/>
        <v>45</v>
      </c>
      <c r="L35" s="2">
        <f t="shared" si="24"/>
        <v>46.531804855202687</v>
      </c>
      <c r="M35" s="2">
        <f t="shared" si="29"/>
        <v>3.8003603635827119</v>
      </c>
      <c r="N35" s="2">
        <f t="shared" si="30"/>
        <v>75.257774306101638</v>
      </c>
      <c r="P35" s="4">
        <f t="shared" si="9"/>
        <v>0.55535664250895833</v>
      </c>
      <c r="Q35" s="4">
        <f t="shared" si="10"/>
        <v>0.66586245957200851</v>
      </c>
      <c r="R35" s="4">
        <f t="shared" si="11"/>
        <v>1.4309835211508219E-2</v>
      </c>
      <c r="S35" s="4">
        <f t="shared" si="25"/>
        <v>0.60998726178833029</v>
      </c>
      <c r="T35" s="2">
        <f t="shared" si="26"/>
        <v>225.31135981810297</v>
      </c>
      <c r="U35" s="6">
        <f t="shared" si="12"/>
        <v>0.12597593060824214</v>
      </c>
      <c r="V35" s="4">
        <f t="shared" si="13"/>
        <v>0.22683789292429332</v>
      </c>
      <c r="W35" s="4">
        <f t="shared" si="14"/>
        <v>0.75081094819701255</v>
      </c>
      <c r="X35" s="3">
        <f t="shared" si="15"/>
        <v>24.596519093450457</v>
      </c>
      <c r="Y35" s="8">
        <f t="shared" si="31"/>
        <v>23.786813398911502</v>
      </c>
      <c r="Z35" s="3">
        <f t="shared" si="32"/>
        <v>6.2590941708714629</v>
      </c>
      <c r="AA35" s="3">
        <f t="shared" si="18"/>
        <v>1144.5204265737036</v>
      </c>
      <c r="AB35" s="3"/>
      <c r="AC35" s="3"/>
      <c r="AD35" s="3"/>
    </row>
    <row r="36" spans="1:30" hidden="1">
      <c r="A36" s="7">
        <f t="shared" ref="A36:B39" si="36">A35</f>
        <v>490</v>
      </c>
      <c r="B36" s="3">
        <f t="shared" si="36"/>
        <v>-29.635100000000001</v>
      </c>
      <c r="D36" s="1">
        <f t="shared" si="33"/>
        <v>31</v>
      </c>
      <c r="E36" s="2">
        <f t="shared" si="35"/>
        <v>10</v>
      </c>
      <c r="F36" s="2">
        <f t="shared" si="35"/>
        <v>10.6799</v>
      </c>
      <c r="G36" s="2">
        <f t="shared" si="3"/>
        <v>7.5518297123942082</v>
      </c>
      <c r="H36" s="2">
        <f t="shared" si="22"/>
        <v>-17.794117647058826</v>
      </c>
      <c r="I36" s="2">
        <f t="shared" si="27"/>
        <v>35</v>
      </c>
      <c r="J36" s="20">
        <f t="shared" si="23"/>
        <v>11.840982352941175</v>
      </c>
      <c r="K36" s="2">
        <f t="shared" si="28"/>
        <v>35</v>
      </c>
      <c r="L36" s="2">
        <f t="shared" si="24"/>
        <v>36.94873290226154</v>
      </c>
      <c r="M36" s="2">
        <f t="shared" si="29"/>
        <v>2.9558358383421091</v>
      </c>
      <c r="N36" s="2">
        <f t="shared" si="30"/>
        <v>71.308613250013494</v>
      </c>
      <c r="P36" s="4">
        <f t="shared" si="9"/>
        <v>0.56475992386832374</v>
      </c>
      <c r="Q36" s="4">
        <f t="shared" si="10"/>
        <v>0.68777851700193227</v>
      </c>
      <c r="R36" s="4">
        <f t="shared" si="11"/>
        <v>1.8614400629685331E-2</v>
      </c>
      <c r="S36" s="4">
        <f t="shared" si="25"/>
        <v>0.60998726178833029</v>
      </c>
      <c r="T36" s="2">
        <f t="shared" si="26"/>
        <v>225.31135981810297</v>
      </c>
      <c r="U36" s="6">
        <f t="shared" si="12"/>
        <v>0.10003160261335403</v>
      </c>
      <c r="V36" s="4">
        <f t="shared" si="13"/>
        <v>0.17712234594867754</v>
      </c>
      <c r="W36" s="4">
        <f t="shared" si="14"/>
        <v>0.70257217146365791</v>
      </c>
      <c r="X36" s="3">
        <f t="shared" si="15"/>
        <v>22.789342061467565</v>
      </c>
      <c r="Y36" s="8">
        <f t="shared" si="31"/>
        <v>21.587397171677953</v>
      </c>
      <c r="Z36" s="3">
        <f t="shared" si="32"/>
        <v>7.303313970164881</v>
      </c>
      <c r="AA36" s="3">
        <f t="shared" si="18"/>
        <v>842.03731284743947</v>
      </c>
      <c r="AB36" s="3"/>
      <c r="AC36" s="3"/>
      <c r="AD36" s="3"/>
    </row>
    <row r="37" spans="1:30" hidden="1">
      <c r="A37" s="7">
        <f t="shared" si="36"/>
        <v>490</v>
      </c>
      <c r="B37" s="3">
        <f t="shared" si="36"/>
        <v>-29.635100000000001</v>
      </c>
      <c r="D37" s="1">
        <f t="shared" si="33"/>
        <v>32</v>
      </c>
      <c r="E37" s="2">
        <f t="shared" ref="E37:F39" si="37">E36</f>
        <v>10</v>
      </c>
      <c r="F37" s="2">
        <f t="shared" si="37"/>
        <v>10.6799</v>
      </c>
      <c r="G37" s="2">
        <f t="shared" si="3"/>
        <v>7.5518297123942082</v>
      </c>
      <c r="H37" s="2">
        <f t="shared" si="22"/>
        <v>-17.794117647058826</v>
      </c>
      <c r="I37" s="2">
        <f t="shared" si="27"/>
        <v>25</v>
      </c>
      <c r="J37" s="20">
        <f t="shared" si="23"/>
        <v>11.840982352941175</v>
      </c>
      <c r="K37" s="2">
        <f t="shared" si="28"/>
        <v>25</v>
      </c>
      <c r="L37" s="2">
        <f t="shared" si="24"/>
        <v>27.662408844543243</v>
      </c>
      <c r="M37" s="2">
        <f t="shared" si="29"/>
        <v>2.1113113131015067</v>
      </c>
      <c r="N37" s="2">
        <f t="shared" si="30"/>
        <v>64.65592599718849</v>
      </c>
      <c r="P37" s="4">
        <f t="shared" si="9"/>
        <v>0.5822172480999187</v>
      </c>
      <c r="Q37" s="4">
        <f t="shared" si="10"/>
        <v>0.72920585185998166</v>
      </c>
      <c r="R37" s="4">
        <f t="shared" si="11"/>
        <v>2.6360894886557452E-2</v>
      </c>
      <c r="S37" s="4">
        <f t="shared" si="25"/>
        <v>0.60998726178833029</v>
      </c>
      <c r="T37" s="2">
        <f t="shared" si="26"/>
        <v>225.31135981810297</v>
      </c>
      <c r="U37" s="6">
        <f t="shared" si="12"/>
        <v>7.4890662588759899E-2</v>
      </c>
      <c r="V37" s="4">
        <f t="shared" si="13"/>
        <v>0.12863009956020291</v>
      </c>
      <c r="W37" s="4">
        <f t="shared" si="14"/>
        <v>0.64304037994178431</v>
      </c>
      <c r="X37" s="3">
        <f t="shared" si="15"/>
        <v>20.410165178252925</v>
      </c>
      <c r="Y37" s="8">
        <f t="shared" si="31"/>
        <v>18.445759092197683</v>
      </c>
      <c r="Z37" s="3">
        <f t="shared" si="32"/>
        <v>8.7366363158926763</v>
      </c>
      <c r="AA37" s="3">
        <f t="shared" si="18"/>
        <v>564.59433374549224</v>
      </c>
      <c r="AB37" s="3"/>
      <c r="AC37" s="3"/>
      <c r="AD37" s="3"/>
    </row>
    <row r="38" spans="1:30" hidden="1">
      <c r="A38" s="7">
        <f t="shared" si="36"/>
        <v>490</v>
      </c>
      <c r="B38" s="3">
        <f t="shared" si="36"/>
        <v>-29.635100000000001</v>
      </c>
      <c r="D38" s="1">
        <f t="shared" si="33"/>
        <v>33</v>
      </c>
      <c r="E38" s="2">
        <f t="shared" si="37"/>
        <v>10</v>
      </c>
      <c r="F38" s="2">
        <f t="shared" si="37"/>
        <v>10.6799</v>
      </c>
      <c r="G38" s="2">
        <f t="shared" si="3"/>
        <v>7.5518297123942082</v>
      </c>
      <c r="H38" s="2">
        <f t="shared" si="22"/>
        <v>-17.794117647058826</v>
      </c>
      <c r="I38" s="2">
        <f t="shared" si="27"/>
        <v>15</v>
      </c>
      <c r="J38" s="20">
        <f t="shared" si="23"/>
        <v>11.840982352941175</v>
      </c>
      <c r="K38" s="2">
        <f t="shared" si="28"/>
        <v>15</v>
      </c>
      <c r="L38" s="2">
        <f t="shared" si="24"/>
        <v>19.110438589489888</v>
      </c>
      <c r="M38" s="2">
        <f t="shared" si="29"/>
        <v>1.266786787860904</v>
      </c>
      <c r="N38" s="2">
        <f t="shared" si="30"/>
        <v>51.71247922749302</v>
      </c>
      <c r="P38" s="4">
        <f t="shared" si="9"/>
        <v>0.62386325779120322</v>
      </c>
      <c r="Q38" s="4">
        <f t="shared" si="10"/>
        <v>0.83170900761132505</v>
      </c>
      <c r="R38" s="4">
        <f t="shared" si="11"/>
        <v>4.3521188889340173E-2</v>
      </c>
      <c r="S38" s="4">
        <f t="shared" si="25"/>
        <v>0.60998726178833029</v>
      </c>
      <c r="T38" s="2">
        <f t="shared" si="26"/>
        <v>225.31135981810297</v>
      </c>
      <c r="U38" s="6">
        <f t="shared" si="12"/>
        <v>5.1737844537390117E-2</v>
      </c>
      <c r="V38" s="4">
        <f t="shared" si="13"/>
        <v>8.2931385830556356E-2</v>
      </c>
      <c r="W38" s="4">
        <f t="shared" si="14"/>
        <v>0.56757121386072962</v>
      </c>
      <c r="X38" s="3">
        <f t="shared" si="15"/>
        <v>16.982910970620779</v>
      </c>
      <c r="Y38" s="8">
        <f t="shared" si="31"/>
        <v>13.330079441474059</v>
      </c>
      <c r="Z38" s="3">
        <f t="shared" si="32"/>
        <v>10.522749028653219</v>
      </c>
      <c r="AA38" s="3">
        <f t="shared" si="18"/>
        <v>324.55087717482252</v>
      </c>
      <c r="AB38" s="3"/>
      <c r="AC38" s="3"/>
      <c r="AD38" s="3"/>
    </row>
    <row r="39" spans="1:30" hidden="1">
      <c r="A39" s="7">
        <f t="shared" si="36"/>
        <v>490</v>
      </c>
      <c r="B39" s="3">
        <f t="shared" si="36"/>
        <v>-29.635100000000001</v>
      </c>
      <c r="D39" s="1">
        <f t="shared" si="33"/>
        <v>34</v>
      </c>
      <c r="E39" s="2">
        <f t="shared" si="37"/>
        <v>10</v>
      </c>
      <c r="F39" s="2">
        <f t="shared" si="37"/>
        <v>10.6799</v>
      </c>
      <c r="G39" s="2">
        <f t="shared" si="3"/>
        <v>7.5518297123942082</v>
      </c>
      <c r="H39" s="2">
        <f t="shared" si="22"/>
        <v>-17.794117647058826</v>
      </c>
      <c r="I39" s="2">
        <f t="shared" si="27"/>
        <v>5</v>
      </c>
      <c r="J39" s="20">
        <f t="shared" si="23"/>
        <v>11.840982352941175</v>
      </c>
      <c r="K39" s="2">
        <f t="shared" si="28"/>
        <v>5</v>
      </c>
      <c r="L39" s="2">
        <f t="shared" si="24"/>
        <v>12.853359991950134</v>
      </c>
      <c r="M39" s="2">
        <f t="shared" si="29"/>
        <v>0.42226226262030131</v>
      </c>
      <c r="N39" s="2">
        <f t="shared" si="30"/>
        <v>22.892498671599729</v>
      </c>
      <c r="P39" s="4">
        <f t="shared" si="9"/>
        <v>0.79794242217555289</v>
      </c>
      <c r="Q39" s="4">
        <f t="shared" si="10"/>
        <v>1.3040264908965487</v>
      </c>
      <c r="R39" s="4">
        <f t="shared" si="11"/>
        <v>0.10145413274919872</v>
      </c>
      <c r="S39" s="4">
        <f t="shared" si="25"/>
        <v>0.60998726178833029</v>
      </c>
      <c r="T39" s="2">
        <f t="shared" si="26"/>
        <v>225.31135981810297</v>
      </c>
      <c r="U39" s="6">
        <f t="shared" si="12"/>
        <v>3.4798005180914943E-2</v>
      </c>
      <c r="V39" s="4">
        <f t="shared" si="13"/>
        <v>4.3609669336842377E-2</v>
      </c>
      <c r="W39" s="4">
        <f t="shared" si="14"/>
        <v>0.47074025392697655</v>
      </c>
      <c r="X39" s="3">
        <f t="shared" si="15"/>
        <v>11.719441603380867</v>
      </c>
      <c r="Y39" s="8">
        <f t="shared" si="31"/>
        <v>4.558901956655915</v>
      </c>
      <c r="Z39" s="3">
        <f t="shared" si="32"/>
        <v>10.79637552351034</v>
      </c>
      <c r="AA39" s="3">
        <f t="shared" si="18"/>
        <v>150.63420183289156</v>
      </c>
      <c r="AB39" s="3"/>
      <c r="AC39" s="3"/>
      <c r="AD39" s="3"/>
    </row>
    <row r="40" spans="1:30" hidden="1">
      <c r="A40" s="7"/>
      <c r="B40" s="3"/>
      <c r="D40" s="1"/>
      <c r="E40" s="2"/>
      <c r="F40" s="2"/>
      <c r="G40" s="2"/>
      <c r="H40" s="2"/>
      <c r="I40" s="2"/>
      <c r="J40" s="20"/>
      <c r="K40" s="2"/>
      <c r="L40" s="2"/>
      <c r="M40" s="2"/>
      <c r="N40" s="2"/>
      <c r="P40" s="4"/>
      <c r="Q40" s="4"/>
      <c r="R40" s="4"/>
      <c r="S40" s="4"/>
      <c r="T40" s="2"/>
      <c r="U40" s="6"/>
      <c r="V40" s="4"/>
      <c r="W40" s="4"/>
      <c r="X40" s="3"/>
      <c r="Y40" s="8"/>
      <c r="Z40" s="3"/>
      <c r="AA40" s="3"/>
      <c r="AB40" s="3"/>
      <c r="AC40" s="3"/>
      <c r="AD40" s="3"/>
    </row>
    <row r="41" spans="1:30" hidden="1">
      <c r="A41" s="7"/>
      <c r="B41" s="3"/>
      <c r="D41" s="1"/>
      <c r="E41" s="2"/>
      <c r="F41" s="2"/>
      <c r="G41" s="2"/>
      <c r="H41" s="2"/>
      <c r="I41" s="2"/>
      <c r="J41" s="20"/>
      <c r="K41" s="2"/>
      <c r="L41" s="2"/>
      <c r="M41" s="2"/>
      <c r="N41" s="2"/>
      <c r="P41" s="4"/>
      <c r="Q41" s="4"/>
      <c r="R41" s="4"/>
      <c r="S41" s="4"/>
      <c r="T41" s="2"/>
      <c r="U41" s="6"/>
      <c r="V41" s="4"/>
      <c r="W41" s="4"/>
      <c r="X41" s="3"/>
      <c r="Y41" s="8"/>
      <c r="Z41" s="3"/>
      <c r="AA41" s="3"/>
      <c r="AB41" s="3"/>
      <c r="AC41" s="3"/>
      <c r="AD41" s="3"/>
    </row>
    <row r="42" spans="1:30" hidden="1">
      <c r="A42" s="7"/>
      <c r="B42" s="3"/>
      <c r="D42" s="1"/>
      <c r="E42" s="2"/>
      <c r="F42" s="2"/>
      <c r="G42" s="2"/>
      <c r="H42" s="2"/>
      <c r="I42" s="2"/>
      <c r="J42" s="20"/>
      <c r="K42" s="2"/>
      <c r="L42" s="2"/>
      <c r="M42" s="2"/>
      <c r="N42" s="2"/>
      <c r="P42" s="4"/>
      <c r="Q42" s="4"/>
      <c r="R42" s="4"/>
      <c r="S42" s="4"/>
      <c r="T42" s="2"/>
      <c r="U42" s="6"/>
      <c r="V42" s="4"/>
      <c r="W42" s="4"/>
      <c r="X42" s="3"/>
      <c r="Y42" s="8"/>
      <c r="Z42" s="3"/>
      <c r="AA42" s="3"/>
      <c r="AB42" s="3"/>
      <c r="AC42" s="3"/>
      <c r="AD42" s="3"/>
    </row>
    <row r="43" spans="1:30" hidden="1">
      <c r="A43" s="7"/>
      <c r="B43" s="3"/>
      <c r="D43" s="1"/>
      <c r="E43" s="2"/>
      <c r="F43" s="2"/>
      <c r="G43" s="2"/>
      <c r="H43" s="2"/>
      <c r="I43" s="2"/>
      <c r="J43" s="20"/>
      <c r="K43" s="2"/>
      <c r="L43" s="2"/>
      <c r="M43" s="2"/>
      <c r="N43" s="2"/>
      <c r="P43" s="4"/>
      <c r="Q43" s="4"/>
      <c r="R43" s="4"/>
      <c r="S43" s="4"/>
      <c r="T43" s="2"/>
      <c r="U43" s="6"/>
      <c r="V43" s="4"/>
      <c r="W43" s="4"/>
      <c r="X43" s="3"/>
      <c r="Y43" s="8"/>
      <c r="Z43" s="3"/>
      <c r="AA43" s="3"/>
      <c r="AB43" s="3"/>
      <c r="AC43" s="3"/>
      <c r="AD43" s="3"/>
    </row>
    <row r="44" spans="1:30" hidden="1">
      <c r="A44" s="7"/>
      <c r="B44" s="3"/>
      <c r="D44" s="1"/>
      <c r="E44" s="2"/>
      <c r="F44" s="2"/>
      <c r="G44" s="2"/>
      <c r="H44" s="2"/>
      <c r="I44" s="2"/>
      <c r="J44" s="20"/>
      <c r="K44" s="2"/>
      <c r="L44" s="2"/>
      <c r="M44" s="2"/>
      <c r="N44" s="2"/>
      <c r="P44" s="4"/>
      <c r="Q44" s="4"/>
      <c r="R44" s="4"/>
      <c r="S44" s="4"/>
      <c r="T44" s="2"/>
      <c r="U44" s="6"/>
      <c r="V44" s="4"/>
      <c r="W44" s="4"/>
      <c r="X44" s="3"/>
      <c r="Y44" s="8"/>
      <c r="Z44" s="3"/>
      <c r="AA44" s="3"/>
      <c r="AB44" s="3"/>
      <c r="AC44" s="3"/>
      <c r="AD44" s="3"/>
    </row>
    <row r="45" spans="1:30" hidden="1">
      <c r="A45" s="7"/>
      <c r="B45" s="3"/>
      <c r="D45" s="1"/>
      <c r="E45" s="2"/>
      <c r="F45" s="2"/>
      <c r="G45" s="2"/>
      <c r="H45" s="2"/>
      <c r="I45" s="2"/>
      <c r="J45" s="20"/>
      <c r="K45" s="2"/>
      <c r="L45" s="2"/>
      <c r="M45" s="2"/>
      <c r="N45" s="2"/>
      <c r="P45" s="4"/>
      <c r="Q45" s="4"/>
      <c r="R45" s="4"/>
      <c r="S45" s="4"/>
      <c r="T45" s="2"/>
      <c r="U45" s="6"/>
      <c r="V45" s="4"/>
      <c r="W45" s="4"/>
      <c r="X45" s="3"/>
      <c r="Y45" s="8"/>
      <c r="Z45" s="3"/>
      <c r="AA45" s="3"/>
      <c r="AB45" s="3"/>
      <c r="AC45" s="3"/>
      <c r="AD45" s="3"/>
    </row>
    <row r="46" spans="1:30" hidden="1">
      <c r="A46" s="7"/>
      <c r="B46" s="3"/>
      <c r="D46" s="1"/>
      <c r="E46" s="2"/>
      <c r="F46" s="2"/>
      <c r="G46" s="2"/>
      <c r="H46" s="2"/>
      <c r="I46" s="2"/>
      <c r="J46" s="20"/>
      <c r="K46" s="2"/>
      <c r="L46" s="2"/>
      <c r="M46" s="2"/>
      <c r="N46" s="2"/>
      <c r="P46" s="4"/>
      <c r="Q46" s="4"/>
      <c r="R46" s="4"/>
      <c r="S46" s="4"/>
      <c r="T46" s="2"/>
      <c r="U46" s="6"/>
      <c r="V46" s="4"/>
      <c r="W46" s="4"/>
      <c r="X46" s="3"/>
      <c r="Y46" s="8"/>
      <c r="Z46" s="3"/>
      <c r="AA46" s="3"/>
      <c r="AB46" s="3"/>
      <c r="AC46" s="3"/>
      <c r="AD46" s="3"/>
    </row>
    <row r="47" spans="1:30" hidden="1">
      <c r="A47" s="7"/>
      <c r="B47" s="3"/>
      <c r="D47" s="1"/>
      <c r="E47" s="2"/>
      <c r="F47" s="2"/>
      <c r="G47" s="2"/>
      <c r="H47" s="2"/>
      <c r="I47" s="2"/>
      <c r="J47" s="20"/>
      <c r="K47" s="2"/>
      <c r="L47" s="2"/>
      <c r="M47" s="2"/>
      <c r="N47" s="2"/>
      <c r="P47" s="4"/>
      <c r="Q47" s="4"/>
      <c r="R47" s="4"/>
      <c r="S47" s="4"/>
      <c r="T47" s="2"/>
      <c r="U47" s="6"/>
      <c r="V47" s="4"/>
      <c r="W47" s="4"/>
      <c r="X47" s="3"/>
      <c r="Y47" s="8"/>
      <c r="Z47" s="3"/>
      <c r="AA47" s="3"/>
      <c r="AB47" s="3"/>
      <c r="AC47" s="3"/>
      <c r="AD47" s="3"/>
    </row>
    <row r="48" spans="1:30" hidden="1">
      <c r="A48" s="7"/>
      <c r="B48" s="3"/>
      <c r="D48" s="1"/>
      <c r="E48" s="2"/>
      <c r="F48" s="2"/>
      <c r="G48" s="2"/>
      <c r="H48" s="2"/>
      <c r="I48" s="2"/>
      <c r="J48" s="20"/>
      <c r="K48" s="2"/>
      <c r="L48" s="2"/>
      <c r="M48" s="2"/>
      <c r="N48" s="2"/>
      <c r="P48" s="4"/>
      <c r="Q48" s="4"/>
      <c r="R48" s="4"/>
      <c r="S48" s="4"/>
      <c r="T48" s="2"/>
      <c r="U48" s="6"/>
      <c r="V48" s="4"/>
      <c r="W48" s="4"/>
      <c r="X48" s="3"/>
      <c r="Y48" s="8"/>
      <c r="Z48" s="3"/>
      <c r="AA48" s="3"/>
      <c r="AB48" s="3"/>
      <c r="AC48" s="3"/>
      <c r="AD48" s="3"/>
    </row>
    <row r="49" spans="1:31" hidden="1">
      <c r="A49" s="7"/>
      <c r="B49" s="3"/>
      <c r="D49" s="1"/>
      <c r="E49" s="2"/>
      <c r="F49" s="2"/>
      <c r="G49" s="2"/>
      <c r="H49" s="2"/>
      <c r="I49" s="2"/>
      <c r="J49" s="20"/>
      <c r="K49" s="2"/>
      <c r="L49" s="2"/>
      <c r="M49" s="2"/>
      <c r="N49" s="2"/>
      <c r="P49" s="4"/>
      <c r="Q49" s="4"/>
      <c r="R49" s="4"/>
      <c r="S49" s="4"/>
      <c r="T49" s="2"/>
      <c r="U49" s="6"/>
      <c r="V49" s="4"/>
      <c r="W49" s="4"/>
      <c r="X49" s="3"/>
      <c r="Y49" s="8"/>
      <c r="Z49" s="3"/>
      <c r="AA49" s="3"/>
      <c r="AB49" s="3"/>
      <c r="AC49" s="3"/>
      <c r="AD49" s="3"/>
    </row>
    <row r="50" spans="1:31">
      <c r="A50" s="7"/>
      <c r="B50" s="3"/>
      <c r="D50" s="1"/>
      <c r="E50" s="2"/>
      <c r="F50" s="2"/>
      <c r="G50" s="2"/>
      <c r="H50" s="2"/>
      <c r="I50" s="2"/>
      <c r="J50" s="20"/>
      <c r="K50" s="2"/>
      <c r="L50" s="2"/>
      <c r="M50" s="2"/>
      <c r="N50" s="2"/>
      <c r="P50" s="4"/>
      <c r="Q50" s="4"/>
      <c r="R50" s="4"/>
      <c r="S50" s="4"/>
      <c r="T50" s="2"/>
      <c r="U50" s="6"/>
      <c r="V50" s="4"/>
      <c r="W50" s="4"/>
      <c r="X50" s="3"/>
      <c r="Y50" s="8"/>
      <c r="Z50" s="3"/>
      <c r="AA50" s="3"/>
      <c r="AB50" s="3"/>
      <c r="AC50" s="3"/>
      <c r="AD50" s="3"/>
    </row>
    <row r="51" spans="1:31">
      <c r="A51" s="7"/>
      <c r="B51" s="3"/>
      <c r="D51" s="1"/>
      <c r="E51" s="2"/>
      <c r="F51" s="2"/>
      <c r="G51" s="2"/>
      <c r="H51" s="2"/>
      <c r="I51" s="2"/>
      <c r="J51" s="20"/>
      <c r="K51" s="2"/>
      <c r="L51" s="2"/>
      <c r="M51" s="2"/>
      <c r="N51" s="2"/>
      <c r="P51" s="4"/>
      <c r="Q51" s="4"/>
      <c r="R51" s="4"/>
      <c r="S51" s="4"/>
      <c r="T51" s="2"/>
      <c r="U51" s="6"/>
      <c r="V51" s="4"/>
      <c r="W51" s="4"/>
      <c r="X51" s="3"/>
      <c r="Y51" s="8"/>
      <c r="Z51" s="3"/>
      <c r="AA51" s="3"/>
      <c r="AB51" s="3"/>
      <c r="AC51" s="3"/>
      <c r="AD51" s="3"/>
    </row>
    <row r="52" spans="1:31">
      <c r="A52" s="7"/>
      <c r="B52" s="3"/>
      <c r="D52" s="1"/>
      <c r="E52" s="2"/>
      <c r="F52" s="2"/>
      <c r="G52" s="2"/>
      <c r="H52" s="2"/>
      <c r="I52" s="2"/>
      <c r="J52" s="20"/>
      <c r="K52" s="2"/>
      <c r="L52" s="2"/>
      <c r="M52" s="2"/>
      <c r="N52" s="2"/>
      <c r="P52" s="4"/>
      <c r="Q52" s="4"/>
      <c r="R52" s="4"/>
      <c r="S52" s="4"/>
      <c r="T52" s="2"/>
      <c r="U52" s="6"/>
      <c r="V52" s="4"/>
      <c r="W52" s="4"/>
      <c r="X52" s="3"/>
      <c r="Y52" s="8"/>
      <c r="Z52" s="3"/>
      <c r="AA52" s="3"/>
      <c r="AB52" s="3"/>
      <c r="AC52" s="3"/>
      <c r="AD52" s="3"/>
    </row>
    <row r="53" spans="1:31">
      <c r="A53" s="7"/>
      <c r="B53" s="3"/>
      <c r="D53" s="1"/>
      <c r="E53" s="2"/>
      <c r="F53" s="2"/>
      <c r="G53" s="2"/>
      <c r="H53" s="2"/>
      <c r="I53" s="2"/>
      <c r="J53" s="20"/>
      <c r="K53" s="2"/>
      <c r="L53" s="2"/>
      <c r="M53" s="2"/>
      <c r="N53" s="2"/>
      <c r="P53" s="4"/>
      <c r="Q53" s="4"/>
      <c r="R53" s="4"/>
      <c r="S53" s="4"/>
      <c r="T53" s="2"/>
      <c r="U53" s="6"/>
      <c r="V53" s="4"/>
      <c r="W53" s="4"/>
      <c r="X53" s="3"/>
      <c r="Y53" s="8"/>
      <c r="Z53" s="3"/>
      <c r="AA53" s="3"/>
      <c r="AB53" s="3"/>
      <c r="AC53" s="3"/>
      <c r="AD53" s="3"/>
    </row>
    <row r="54" spans="1:31">
      <c r="A54" s="7"/>
      <c r="B54" s="3"/>
      <c r="D54" s="1"/>
      <c r="E54" s="2"/>
      <c r="F54" s="2"/>
      <c r="G54" s="2"/>
      <c r="H54" s="2"/>
      <c r="I54" s="2"/>
      <c r="J54" s="20"/>
      <c r="K54" s="2"/>
      <c r="L54" s="2"/>
      <c r="M54" s="2"/>
      <c r="N54" s="2"/>
      <c r="P54" s="4"/>
      <c r="Q54" s="4"/>
      <c r="R54" s="4"/>
      <c r="S54" s="4"/>
      <c r="T54" s="2"/>
      <c r="U54" s="6"/>
      <c r="V54" s="4"/>
      <c r="W54" s="4"/>
      <c r="X54" s="3"/>
      <c r="Y54" s="8"/>
      <c r="Z54" s="3"/>
      <c r="AA54" s="3"/>
      <c r="AB54" s="3"/>
      <c r="AC54" s="3"/>
      <c r="AD54" s="3"/>
    </row>
    <row r="55" spans="1:31">
      <c r="A55" s="7"/>
      <c r="B55" s="3"/>
      <c r="D55" s="1"/>
      <c r="E55" s="2"/>
      <c r="F55" s="2"/>
      <c r="G55" s="2"/>
      <c r="H55" s="2"/>
      <c r="I55" s="2"/>
      <c r="J55" s="20"/>
      <c r="K55" s="2"/>
      <c r="L55" s="2"/>
      <c r="M55" s="2"/>
      <c r="N55" s="2"/>
      <c r="P55" s="4"/>
      <c r="Q55" s="4"/>
      <c r="R55" s="4"/>
      <c r="S55" s="4"/>
      <c r="T55" s="2"/>
      <c r="U55" s="6"/>
      <c r="V55" s="4"/>
      <c r="W55" s="4"/>
      <c r="X55" s="3"/>
      <c r="Y55" s="8"/>
      <c r="Z55" s="3"/>
      <c r="AA55" s="3"/>
      <c r="AB55" s="3"/>
      <c r="AC55" s="3"/>
      <c r="AD55" s="3"/>
    </row>
    <row r="56" spans="1:31">
      <c r="A56" s="7"/>
      <c r="B56" s="3"/>
      <c r="D56" s="1"/>
      <c r="E56" s="2"/>
      <c r="F56" s="2"/>
      <c r="G56" s="2"/>
      <c r="H56" s="2"/>
      <c r="I56" s="2"/>
      <c r="J56" s="20"/>
      <c r="K56" s="2"/>
      <c r="L56" s="2"/>
      <c r="M56" s="2"/>
      <c r="N56" s="2"/>
      <c r="P56" s="4"/>
      <c r="Q56" s="4"/>
      <c r="R56" s="4"/>
      <c r="S56" s="4"/>
      <c r="T56" s="2"/>
      <c r="U56" s="6"/>
      <c r="V56" s="4"/>
      <c r="W56" s="4"/>
      <c r="X56" s="3"/>
      <c r="Y56" s="8"/>
      <c r="Z56" s="3"/>
      <c r="AA56" s="3"/>
      <c r="AB56" s="3"/>
      <c r="AC56" s="3"/>
      <c r="AD56" s="3"/>
    </row>
    <row r="57" spans="1:31">
      <c r="A57" s="7"/>
      <c r="B57" s="3"/>
      <c r="D57" s="1"/>
      <c r="E57" s="2"/>
      <c r="F57" s="2"/>
      <c r="G57" s="2"/>
      <c r="H57" s="2"/>
      <c r="I57" s="2"/>
      <c r="J57" s="20"/>
      <c r="K57" s="2"/>
      <c r="L57" s="2"/>
      <c r="M57" s="2"/>
      <c r="N57" s="2"/>
      <c r="P57" s="4"/>
      <c r="Q57" s="4"/>
      <c r="R57" s="4"/>
      <c r="S57" s="4"/>
      <c r="T57" s="2"/>
      <c r="U57" s="6"/>
      <c r="V57" s="4"/>
      <c r="W57" s="4"/>
      <c r="X57" s="3"/>
      <c r="Y57" s="8"/>
      <c r="Z57" s="3"/>
      <c r="AA57" s="3"/>
      <c r="AB57" s="3"/>
      <c r="AC57" s="3"/>
      <c r="AD57" s="3"/>
    </row>
    <row r="58" spans="1:31">
      <c r="A58" s="7"/>
      <c r="B58" s="3"/>
      <c r="D58" s="1"/>
      <c r="E58" s="2"/>
      <c r="F58" s="2"/>
      <c r="G58" s="2"/>
      <c r="H58" s="2"/>
      <c r="I58" s="2"/>
      <c r="J58" s="20"/>
      <c r="K58" s="2"/>
      <c r="L58" s="2"/>
      <c r="M58" s="2"/>
      <c r="N58" s="2"/>
      <c r="P58" s="4"/>
      <c r="Q58" s="4"/>
      <c r="R58" s="4"/>
      <c r="S58" s="4"/>
      <c r="T58" s="2"/>
      <c r="U58" s="6"/>
      <c r="V58" s="4"/>
      <c r="W58" s="4"/>
      <c r="X58" s="3"/>
      <c r="Y58" s="8"/>
      <c r="Z58" s="3"/>
      <c r="AA58" s="3"/>
      <c r="AB58" s="3"/>
      <c r="AC58" s="3"/>
      <c r="AD58" s="3"/>
    </row>
    <row r="59" spans="1:31">
      <c r="A59" s="7"/>
      <c r="B59" s="3"/>
      <c r="D59" s="1"/>
      <c r="E59" s="2"/>
      <c r="F59" s="2"/>
      <c r="G59" s="2"/>
      <c r="H59" s="2"/>
      <c r="I59" s="2"/>
      <c r="J59" s="20"/>
      <c r="K59" s="2"/>
      <c r="L59" s="2"/>
      <c r="M59" s="2"/>
      <c r="N59" s="2"/>
      <c r="P59" s="4"/>
      <c r="Q59" s="4"/>
      <c r="R59" s="4"/>
      <c r="S59" s="4"/>
      <c r="T59" s="2"/>
      <c r="U59" s="6"/>
      <c r="V59" s="4"/>
      <c r="W59" s="4"/>
      <c r="X59" s="3"/>
      <c r="Y59" s="8"/>
      <c r="Z59" s="3"/>
      <c r="AA59" s="3"/>
      <c r="AB59" s="3"/>
      <c r="AC59" s="3"/>
      <c r="AD59" s="3"/>
    </row>
    <row r="60" spans="1:31"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X60" s="14" t="s">
        <v>26</v>
      </c>
      <c r="Y60" s="9">
        <f>ABS(SUM(Y3:Y39))</f>
        <v>883.15841990613308</v>
      </c>
      <c r="Z60" s="19">
        <f>SUM(Z3:Z39)</f>
        <v>169.16292032014138</v>
      </c>
      <c r="AA60" s="10">
        <f>SUM(AA3:AA39)</f>
        <v>145541.70312392118</v>
      </c>
      <c r="AB60" s="3"/>
      <c r="AC60" s="3"/>
      <c r="AD60" s="3"/>
      <c r="AE60" s="15"/>
    </row>
    <row r="61" spans="1:31" ht="23.25" customHeight="1"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R61" s="5"/>
      <c r="X61" s="14" t="s">
        <v>25</v>
      </c>
      <c r="Y61" s="3">
        <f>0.75*Y60</f>
        <v>662.36881492959981</v>
      </c>
      <c r="Z61" s="17">
        <f>0.75*Z60</f>
        <v>126.87219024010604</v>
      </c>
      <c r="AA61" s="18">
        <f>AA60/AB21</f>
        <v>169.16253440380291</v>
      </c>
      <c r="AB61" s="16" t="str">
        <f>IF(ABS(Z60-AA61)&lt;0.1,"balanced ro = "&amp;B3, "NG")</f>
        <v>balanced ro = -29.6351</v>
      </c>
      <c r="AC61" s="3"/>
    </row>
    <row r="62" spans="1:31"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Z62" s="21"/>
    </row>
    <row r="63" spans="1:31"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</row>
  </sheetData>
  <phoneticPr fontId="1" type="noConversion"/>
  <conditionalFormatting sqref="R3:R14 R17:R59">
    <cfRule type="cellIs" dxfId="303" priority="9" operator="equal">
      <formula>#REF!</formula>
    </cfRule>
  </conditionalFormatting>
  <conditionalFormatting sqref="R3:R14 R17:R59">
    <cfRule type="cellIs" dxfId="302" priority="6" operator="equal">
      <formula>MIN($R$3:$R$39)</formula>
    </cfRule>
    <cfRule type="cellIs" dxfId="301" priority="7" operator="equal">
      <formula>0.05292</formula>
    </cfRule>
    <cfRule type="cellIs" dxfId="300" priority="8" operator="equal">
      <formula>MIN($R$3:$R$39)</formula>
    </cfRule>
  </conditionalFormatting>
  <conditionalFormatting sqref="R3:R14 R17:R59">
    <cfRule type="cellIs" dxfId="299" priority="5" operator="equal">
      <formula>MIN($R$3:$R$39)</formula>
    </cfRule>
  </conditionalFormatting>
  <conditionalFormatting sqref="F3">
    <cfRule type="expression" dxfId="298" priority="2">
      <formula>ABS($Z$61-$AC$18)&lt;0.001</formula>
    </cfRule>
  </conditionalFormatting>
  <conditionalFormatting sqref="B3">
    <cfRule type="expression" dxfId="297" priority="1">
      <formula>ABS($Z$60-$AA$61)&lt;0.001</formula>
    </cfRule>
  </conditionalFormatting>
  <pageMargins left="0.7" right="0.7" top="0.75" bottom="0.75" header="0.3" footer="0.3"/>
  <pageSetup paperSize="9" orientation="portrait" r:id="rId1"/>
  <ignoredErrors>
    <ignoredError sqref="I17:I39 J17:J39 J3:J13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63"/>
  <sheetViews>
    <sheetView zoomScale="85" zoomScaleNormal="85" workbookViewId="0">
      <selection activeCell="Y50" sqref="Y50"/>
    </sheetView>
  </sheetViews>
  <sheetFormatPr defaultRowHeight="16.5"/>
  <cols>
    <col min="1" max="2" width="9" customWidth="1"/>
    <col min="3" max="3" width="2.375" customWidth="1"/>
    <col min="8" max="8" width="8.875" hidden="1" customWidth="1"/>
    <col min="9" max="9" width="0" hidden="1" customWidth="1"/>
    <col min="10" max="10" width="8.875" customWidth="1"/>
    <col min="15" max="15" width="2.375" customWidth="1"/>
    <col min="16" max="17" width="9.375" bestFit="1" customWidth="1"/>
    <col min="18" max="18" width="10.375" bestFit="1" customWidth="1"/>
    <col min="19" max="20" width="9.375" customWidth="1"/>
    <col min="21" max="23" width="9.375" bestFit="1" customWidth="1"/>
    <col min="24" max="26" width="10.25" customWidth="1"/>
    <col min="27" max="27" width="15" customWidth="1"/>
    <col min="28" max="28" width="10.25" customWidth="1"/>
    <col min="29" max="29" width="13.75" customWidth="1"/>
    <col min="30" max="30" width="13.625" customWidth="1"/>
    <col min="31" max="31" width="13.375" bestFit="1" customWidth="1"/>
  </cols>
  <sheetData>
    <row r="1" spans="1:30" ht="22.5" customHeight="1">
      <c r="A1" s="11" t="s">
        <v>28</v>
      </c>
      <c r="B1" s="11" t="s">
        <v>37</v>
      </c>
      <c r="C1" s="12"/>
      <c r="D1" s="13" t="s">
        <v>1</v>
      </c>
      <c r="E1" s="11" t="s">
        <v>21</v>
      </c>
      <c r="F1" s="13" t="s">
        <v>2</v>
      </c>
      <c r="G1" s="13" t="s">
        <v>3</v>
      </c>
      <c r="H1" s="13" t="s">
        <v>38</v>
      </c>
      <c r="I1" s="13" t="s">
        <v>39</v>
      </c>
      <c r="J1" s="11" t="s">
        <v>42</v>
      </c>
      <c r="K1" s="11" t="s">
        <v>43</v>
      </c>
      <c r="L1" s="11" t="s">
        <v>165</v>
      </c>
      <c r="M1" s="13" t="s">
        <v>19</v>
      </c>
      <c r="N1" s="13" t="s">
        <v>20</v>
      </c>
      <c r="O1" s="12"/>
      <c r="P1" s="14" t="s">
        <v>6</v>
      </c>
      <c r="Q1" s="14" t="s">
        <v>7</v>
      </c>
      <c r="R1" s="14" t="s">
        <v>8</v>
      </c>
      <c r="S1" s="14" t="s">
        <v>22</v>
      </c>
      <c r="T1" s="14" t="s">
        <v>23</v>
      </c>
      <c r="U1" s="14" t="s">
        <v>9</v>
      </c>
      <c r="V1" s="14" t="s">
        <v>10</v>
      </c>
      <c r="W1" s="14" t="s">
        <v>12</v>
      </c>
      <c r="X1" s="14" t="s">
        <v>13</v>
      </c>
      <c r="Y1" s="14" t="s">
        <v>14</v>
      </c>
      <c r="Z1" s="14" t="s">
        <v>15</v>
      </c>
      <c r="AA1" s="14" t="s">
        <v>16</v>
      </c>
      <c r="AB1" s="14" t="s">
        <v>40</v>
      </c>
      <c r="AC1" s="15"/>
    </row>
    <row r="2" spans="1:30" ht="22.5" customHeight="1">
      <c r="A2" s="11" t="s">
        <v>24</v>
      </c>
      <c r="B2" s="11" t="s">
        <v>4</v>
      </c>
      <c r="C2" s="12"/>
      <c r="D2" s="13" t="s">
        <v>0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44</v>
      </c>
      <c r="N2" s="13" t="s">
        <v>5</v>
      </c>
      <c r="O2" s="12"/>
      <c r="P2" s="13" t="s">
        <v>4</v>
      </c>
      <c r="Q2" s="13" t="s">
        <v>4</v>
      </c>
      <c r="R2" s="13"/>
      <c r="S2" s="13" t="s">
        <v>4</v>
      </c>
      <c r="T2" s="13" t="s">
        <v>4</v>
      </c>
      <c r="U2" s="13" t="s">
        <v>4</v>
      </c>
      <c r="V2" s="14" t="s">
        <v>11</v>
      </c>
      <c r="W2" s="13"/>
      <c r="X2" s="13" t="s">
        <v>18</v>
      </c>
      <c r="Y2" s="13" t="s">
        <v>18</v>
      </c>
      <c r="Z2" s="13" t="s">
        <v>18</v>
      </c>
      <c r="AA2" s="13" t="s">
        <v>17</v>
      </c>
      <c r="AB2" s="14" t="s">
        <v>4</v>
      </c>
      <c r="AC2" s="15"/>
    </row>
    <row r="3" spans="1:30">
      <c r="A3" s="7">
        <f>stiffener_C_shaped_weld!C30</f>
        <v>490</v>
      </c>
      <c r="B3" s="3">
        <v>-50.575200000000002</v>
      </c>
      <c r="D3" s="1">
        <v>1</v>
      </c>
      <c r="E3" s="2">
        <v>10</v>
      </c>
      <c r="F3" s="20">
        <v>2.1206999999999998</v>
      </c>
      <c r="G3" s="2">
        <f>F3/SQRT(2)</f>
        <v>1.4995613508623111</v>
      </c>
      <c r="H3" s="20">
        <f t="shared" ref="H3:H12" si="0">(MAX($D$3:$D$14)-D3+0.5)*E3-$AB$3</f>
        <v>74.166666666666657</v>
      </c>
      <c r="I3" s="2">
        <f>(MAX(D17:D59)-MAX(D3:D14))*E17</f>
        <v>140</v>
      </c>
      <c r="J3" s="20">
        <f>H3-B3</f>
        <v>124.74186666666665</v>
      </c>
      <c r="K3" s="2">
        <f>I3</f>
        <v>140</v>
      </c>
      <c r="L3" s="2">
        <f>SQRT(J3^2+K3^2)</f>
        <v>187.51142178407278</v>
      </c>
      <c r="M3" s="2">
        <f>ABS(J3/K3)</f>
        <v>0.89101333333333321</v>
      </c>
      <c r="N3" s="2">
        <f>ATAN(M3)*180/PI()</f>
        <v>41.701463911581904</v>
      </c>
      <c r="P3" s="4">
        <f>0.209 * (N3+2)^-0.32 * F3</f>
        <v>0.13233258837776463</v>
      </c>
      <c r="Q3" s="4">
        <f>MIN(1.087*(N3+6)^-0.65 * F3, 0.17*F3)</f>
        <v>0.18692318427399687</v>
      </c>
      <c r="R3" s="4">
        <f>Q3/L3</f>
        <v>9.9686292437826387E-4</v>
      </c>
      <c r="S3" s="4">
        <f t="shared" ref="S3:S12" si="1">INDEX($Q$3:$Q$59, MATCH(MIN($R$3:$R$59),$R$3:$R$59,0))</f>
        <v>0.12982459851278674</v>
      </c>
      <c r="T3" s="2">
        <f t="shared" ref="T3:T12" si="2">INDEX($L$3:$L$59, MATCH(MIN($R$3:$R$59),$R$3:$R$59,0))</f>
        <v>138.23739954447123</v>
      </c>
      <c r="U3" s="6">
        <f>S3*L3/T3</f>
        <v>0.17609992035366437</v>
      </c>
      <c r="V3" s="4">
        <f>U3/P3</f>
        <v>1.330737367963807</v>
      </c>
      <c r="W3" s="4">
        <f>POWER(V3*(1.9-0.9*V3),0.3)</f>
        <v>0.97992142474043686</v>
      </c>
      <c r="X3" s="3">
        <f>0.6*A3*G3*E3*(1+0.5*SIN(N3*PI()/180)^1.5)*W3/1000</f>
        <v>5.4922490724804076</v>
      </c>
      <c r="Y3" s="8">
        <f>X3*COS(N3*PI()/180)</f>
        <v>4.1006295127594665</v>
      </c>
      <c r="Z3" s="3">
        <f>X3*SIN(N3*PI()/180)</f>
        <v>3.6537155709288536</v>
      </c>
      <c r="AA3" s="3">
        <f>L3*X3</f>
        <v>1029.8594323730563</v>
      </c>
      <c r="AB3" s="3">
        <f>(MAX(D3:D14)*E3*G3*MAX(D3:D14)*E3/2)/(MAX(D3:D14)*E3*G3+I3*G3)</f>
        <v>20.833333333333336</v>
      </c>
      <c r="AC3" s="3"/>
      <c r="AD3" s="15"/>
    </row>
    <row r="4" spans="1:30">
      <c r="A4" s="7">
        <f>A3</f>
        <v>490</v>
      </c>
      <c r="B4" s="3">
        <f t="shared" ref="A4:B19" si="3">B3</f>
        <v>-50.575200000000002</v>
      </c>
      <c r="D4" s="1">
        <f>D3+1</f>
        <v>2</v>
      </c>
      <c r="E4" s="2">
        <f>E3</f>
        <v>10</v>
      </c>
      <c r="F4" s="2">
        <f>F3</f>
        <v>2.1206999999999998</v>
      </c>
      <c r="G4" s="2">
        <f t="shared" ref="G4:G30" si="4">F4/SQRT(2)</f>
        <v>1.4995613508623111</v>
      </c>
      <c r="H4" s="20">
        <f t="shared" si="0"/>
        <v>64.166666666666657</v>
      </c>
      <c r="I4" s="2">
        <f>I3</f>
        <v>140</v>
      </c>
      <c r="J4" s="20">
        <f t="shared" ref="J4:J12" si="5">H4-B4</f>
        <v>114.74186666666665</v>
      </c>
      <c r="K4" s="2">
        <f>K3</f>
        <v>140</v>
      </c>
      <c r="L4" s="2">
        <f t="shared" ref="L4:L12" si="6">SQRT(J4^2+K4^2)</f>
        <v>181.01297181735652</v>
      </c>
      <c r="M4" s="2">
        <f t="shared" ref="M4:M12" si="7">ABS(J4/K4)</f>
        <v>0.81958476190476182</v>
      </c>
      <c r="N4" s="2">
        <f t="shared" ref="N4:N12" si="8">ATAN(M4)*180/PI()</f>
        <v>39.337523832496721</v>
      </c>
      <c r="P4" s="4">
        <f t="shared" ref="P4:P30" si="9">0.209 * (N4+2)^-0.32 * F4</f>
        <v>0.13470859169078411</v>
      </c>
      <c r="Q4" s="4">
        <f t="shared" ref="Q4:Q30" si="10">MIN(1.087*(N4+6)^-0.65 * F4, 0.17*F4)</f>
        <v>0.19320181966766847</v>
      </c>
      <c r="R4" s="4">
        <f t="shared" ref="R4:R30" si="11">Q4/L4</f>
        <v>1.0673368749650196E-3</v>
      </c>
      <c r="S4" s="4">
        <f t="shared" si="1"/>
        <v>0.12982459851278674</v>
      </c>
      <c r="T4" s="2">
        <f t="shared" si="2"/>
        <v>138.23739954447123</v>
      </c>
      <c r="U4" s="6">
        <f t="shared" ref="U4:U30" si="12">S4*L4/T4</f>
        <v>0.16999695067494899</v>
      </c>
      <c r="V4" s="4">
        <f t="shared" ref="V4:V30" si="13">U4/P4</f>
        <v>1.2619607149124332</v>
      </c>
      <c r="W4" s="4">
        <f t="shared" ref="W4:W30" si="14">POWER(V4*(1.9-0.9*V4),0.3)</f>
        <v>0.98919494518548756</v>
      </c>
      <c r="X4" s="3">
        <f t="shared" ref="X4:X30" si="15">0.6*A4*G4*E4*(1+0.5*SIN(N4*PI()/180)^1.5)*W4/1000</f>
        <v>5.4615530668251067</v>
      </c>
      <c r="Y4" s="8">
        <f t="shared" ref="Y4:Y12" si="16">X4*COS(N4*PI()/180)</f>
        <v>4.2241029561517829</v>
      </c>
      <c r="Z4" s="3">
        <f t="shared" ref="Z4:Z12" si="17">X4*SIN(N4*PI()/180)</f>
        <v>3.4620104155788587</v>
      </c>
      <c r="AA4" s="3">
        <f t="shared" ref="AA4:AA30" si="18">L4*X4</f>
        <v>988.61195136421009</v>
      </c>
      <c r="AB4" s="3">
        <f>I3-(MAX(D3:D14)*E3*G3*G3/2+I3*G3*I3/2)/(MAX(D3:D14)*E3*G3+I3*G3)</f>
        <v>98.854258051903685</v>
      </c>
      <c r="AC4" s="3"/>
      <c r="AD4" s="15"/>
    </row>
    <row r="5" spans="1:30">
      <c r="A5" s="7">
        <f t="shared" si="3"/>
        <v>490</v>
      </c>
      <c r="B5" s="3">
        <f t="shared" si="3"/>
        <v>-50.575200000000002</v>
      </c>
      <c r="D5" s="1">
        <f t="shared" ref="D5:D12" si="19">D4+1</f>
        <v>3</v>
      </c>
      <c r="E5" s="2">
        <f t="shared" ref="E5:F20" si="20">E4</f>
        <v>10</v>
      </c>
      <c r="F5" s="2">
        <f t="shared" si="20"/>
        <v>2.1206999999999998</v>
      </c>
      <c r="G5" s="2">
        <f t="shared" si="4"/>
        <v>1.4995613508623111</v>
      </c>
      <c r="H5" s="20">
        <f t="shared" si="0"/>
        <v>54.166666666666664</v>
      </c>
      <c r="I5" s="2">
        <f t="shared" ref="I5:K12" si="21">I4</f>
        <v>140</v>
      </c>
      <c r="J5" s="20">
        <f t="shared" si="5"/>
        <v>104.74186666666667</v>
      </c>
      <c r="K5" s="2">
        <f t="shared" si="21"/>
        <v>140</v>
      </c>
      <c r="L5" s="2">
        <f t="shared" si="6"/>
        <v>174.8452419507542</v>
      </c>
      <c r="M5" s="2">
        <f t="shared" si="7"/>
        <v>0.74815619047619053</v>
      </c>
      <c r="N5" s="2">
        <f t="shared" si="8"/>
        <v>36.802226583937212</v>
      </c>
      <c r="P5" s="4">
        <f t="shared" si="9"/>
        <v>0.13746476543053934</v>
      </c>
      <c r="Q5" s="4">
        <f t="shared" si="10"/>
        <v>0.20056522974811899</v>
      </c>
      <c r="R5" s="4">
        <f t="shared" si="11"/>
        <v>1.1471014453147597E-3</v>
      </c>
      <c r="S5" s="4">
        <f t="shared" si="1"/>
        <v>0.12982459851278674</v>
      </c>
      <c r="T5" s="2">
        <f t="shared" si="2"/>
        <v>138.23739954447123</v>
      </c>
      <c r="U5" s="6">
        <f t="shared" si="12"/>
        <v>0.16420457425362189</v>
      </c>
      <c r="V5" s="4">
        <f t="shared" si="13"/>
        <v>1.1945211832234501</v>
      </c>
      <c r="W5" s="4">
        <f t="shared" si="14"/>
        <v>0.99559666635018218</v>
      </c>
      <c r="X5" s="3">
        <f t="shared" si="15"/>
        <v>5.4068684008886487</v>
      </c>
      <c r="Y5" s="8">
        <f t="shared" si="16"/>
        <v>4.3293232785688947</v>
      </c>
      <c r="Z5" s="3">
        <f t="shared" si="17"/>
        <v>3.2390100114339955</v>
      </c>
      <c r="AA5" s="3">
        <f t="shared" si="18"/>
        <v>945.36521374926326</v>
      </c>
      <c r="AB5" s="3"/>
      <c r="AC5" s="3"/>
      <c r="AD5" s="15"/>
    </row>
    <row r="6" spans="1:30">
      <c r="A6" s="7">
        <f t="shared" si="3"/>
        <v>490</v>
      </c>
      <c r="B6" s="3">
        <f t="shared" si="3"/>
        <v>-50.575200000000002</v>
      </c>
      <c r="D6" s="1">
        <f t="shared" si="19"/>
        <v>4</v>
      </c>
      <c r="E6" s="2">
        <f t="shared" si="20"/>
        <v>10</v>
      </c>
      <c r="F6" s="2">
        <f t="shared" si="20"/>
        <v>2.1206999999999998</v>
      </c>
      <c r="G6" s="2">
        <f t="shared" si="4"/>
        <v>1.4995613508623111</v>
      </c>
      <c r="H6" s="20">
        <f t="shared" si="0"/>
        <v>44.166666666666664</v>
      </c>
      <c r="I6" s="2">
        <f t="shared" si="21"/>
        <v>140</v>
      </c>
      <c r="J6" s="20">
        <f t="shared" si="5"/>
        <v>94.741866666666667</v>
      </c>
      <c r="K6" s="2">
        <f t="shared" si="21"/>
        <v>140</v>
      </c>
      <c r="L6" s="2">
        <f t="shared" si="6"/>
        <v>169.04443587259667</v>
      </c>
      <c r="M6" s="2">
        <f t="shared" si="7"/>
        <v>0.67672761904761902</v>
      </c>
      <c r="N6" s="2">
        <f t="shared" si="8"/>
        <v>34.087297433162355</v>
      </c>
      <c r="P6" s="4">
        <f t="shared" si="9"/>
        <v>0.14069288252499407</v>
      </c>
      <c r="Q6" s="4">
        <f t="shared" si="10"/>
        <v>0.20929284160281897</v>
      </c>
      <c r="R6" s="4">
        <f t="shared" si="11"/>
        <v>1.2380936439727376E-3</v>
      </c>
      <c r="S6" s="4">
        <f t="shared" si="1"/>
        <v>0.12982459851278674</v>
      </c>
      <c r="T6" s="2">
        <f t="shared" si="2"/>
        <v>138.23739954447123</v>
      </c>
      <c r="U6" s="6">
        <f t="shared" si="12"/>
        <v>0.15875679150720914</v>
      </c>
      <c r="V6" s="4">
        <f t="shared" si="13"/>
        <v>1.1283924862297567</v>
      </c>
      <c r="W6" s="4">
        <f t="shared" si="14"/>
        <v>0.99940050516506806</v>
      </c>
      <c r="X6" s="3">
        <f t="shared" si="15"/>
        <v>5.3304094495888679</v>
      </c>
      <c r="Y6" s="8">
        <f t="shared" si="16"/>
        <v>4.4145630649734704</v>
      </c>
      <c r="Z6" s="3">
        <f t="shared" si="17"/>
        <v>2.9874567520950559</v>
      </c>
      <c r="AA6" s="3">
        <f t="shared" si="18"/>
        <v>901.07605837570861</v>
      </c>
      <c r="AB6" s="3"/>
      <c r="AC6" s="3"/>
      <c r="AD6" s="15"/>
    </row>
    <row r="7" spans="1:30">
      <c r="A7" s="7">
        <f t="shared" si="3"/>
        <v>490</v>
      </c>
      <c r="B7" s="3">
        <f t="shared" si="3"/>
        <v>-50.575200000000002</v>
      </c>
      <c r="D7" s="1">
        <f t="shared" si="19"/>
        <v>5</v>
      </c>
      <c r="E7" s="2">
        <f t="shared" si="20"/>
        <v>10</v>
      </c>
      <c r="F7" s="2">
        <f t="shared" si="20"/>
        <v>2.1206999999999998</v>
      </c>
      <c r="G7" s="2">
        <f t="shared" si="4"/>
        <v>1.4995613508623111</v>
      </c>
      <c r="H7" s="20">
        <f t="shared" si="0"/>
        <v>34.166666666666664</v>
      </c>
      <c r="I7" s="2">
        <f t="shared" si="21"/>
        <v>140</v>
      </c>
      <c r="J7" s="20">
        <f t="shared" si="5"/>
        <v>84.741866666666667</v>
      </c>
      <c r="K7" s="2">
        <f t="shared" si="21"/>
        <v>140</v>
      </c>
      <c r="L7" s="2">
        <f t="shared" si="6"/>
        <v>163.64957673685291</v>
      </c>
      <c r="M7" s="2">
        <f t="shared" si="7"/>
        <v>0.60529904761904763</v>
      </c>
      <c r="N7" s="2">
        <f t="shared" si="8"/>
        <v>31.186479622207024</v>
      </c>
      <c r="P7" s="4">
        <f t="shared" si="9"/>
        <v>0.14451666909659769</v>
      </c>
      <c r="Q7" s="4">
        <f t="shared" si="10"/>
        <v>0.21976497970106898</v>
      </c>
      <c r="R7" s="4">
        <f t="shared" si="11"/>
        <v>1.3428997745252294E-3</v>
      </c>
      <c r="S7" s="4">
        <f t="shared" si="1"/>
        <v>0.12982459851278674</v>
      </c>
      <c r="T7" s="2">
        <f t="shared" si="2"/>
        <v>138.23739954447123</v>
      </c>
      <c r="U7" s="6">
        <f t="shared" si="12"/>
        <v>0.15369025073286782</v>
      </c>
      <c r="V7" s="4">
        <f t="shared" si="13"/>
        <v>1.0634776714244523</v>
      </c>
      <c r="W7" s="4">
        <f t="shared" si="14"/>
        <v>1.0008156117806219</v>
      </c>
      <c r="X7" s="3">
        <f t="shared" si="15"/>
        <v>5.2343791106494901</v>
      </c>
      <c r="Y7" s="8">
        <f t="shared" si="16"/>
        <v>4.477940548965095</v>
      </c>
      <c r="Z7" s="3">
        <f t="shared" si="17"/>
        <v>2.7104931495832876</v>
      </c>
      <c r="AA7" s="3">
        <f t="shared" si="18"/>
        <v>856.60392593801362</v>
      </c>
      <c r="AB7" s="3"/>
      <c r="AC7" s="3"/>
      <c r="AD7" s="15"/>
    </row>
    <row r="8" spans="1:30">
      <c r="A8" s="7">
        <f t="shared" si="3"/>
        <v>490</v>
      </c>
      <c r="B8" s="3">
        <f t="shared" si="3"/>
        <v>-50.575200000000002</v>
      </c>
      <c r="D8" s="1">
        <f t="shared" si="19"/>
        <v>6</v>
      </c>
      <c r="E8" s="2">
        <f t="shared" si="20"/>
        <v>10</v>
      </c>
      <c r="F8" s="2">
        <f t="shared" si="20"/>
        <v>2.1206999999999998</v>
      </c>
      <c r="G8" s="2">
        <f t="shared" si="4"/>
        <v>1.4995613508623111</v>
      </c>
      <c r="H8" s="20">
        <f t="shared" si="0"/>
        <v>24.166666666666664</v>
      </c>
      <c r="I8" s="2">
        <f t="shared" si="21"/>
        <v>140</v>
      </c>
      <c r="J8" s="20">
        <f t="shared" si="5"/>
        <v>74.741866666666667</v>
      </c>
      <c r="K8" s="2">
        <f t="shared" si="21"/>
        <v>140</v>
      </c>
      <c r="L8" s="2">
        <f t="shared" si="6"/>
        <v>158.70206877296144</v>
      </c>
      <c r="M8" s="2">
        <f t="shared" si="7"/>
        <v>0.53387047619047623</v>
      </c>
      <c r="N8" s="2">
        <f t="shared" si="8"/>
        <v>28.096442159800869</v>
      </c>
      <c r="P8" s="4">
        <f t="shared" si="9"/>
        <v>0.14910790616938668</v>
      </c>
      <c r="Q8" s="4">
        <f t="shared" si="10"/>
        <v>0.23251334745830032</v>
      </c>
      <c r="R8" s="4">
        <f t="shared" si="11"/>
        <v>1.4650933617691715E-3</v>
      </c>
      <c r="S8" s="4">
        <f t="shared" si="1"/>
        <v>0.12982459851278674</v>
      </c>
      <c r="T8" s="2">
        <f t="shared" si="2"/>
        <v>138.23739954447123</v>
      </c>
      <c r="U8" s="6">
        <f t="shared" si="12"/>
        <v>0.14904383639660573</v>
      </c>
      <c r="V8" s="4">
        <f t="shared" si="13"/>
        <v>0.99957031270556396</v>
      </c>
      <c r="W8" s="4">
        <f t="shared" si="14"/>
        <v>0.9999870593353809</v>
      </c>
      <c r="X8" s="3">
        <f t="shared" si="15"/>
        <v>5.1210928052049951</v>
      </c>
      <c r="Y8" s="8">
        <f t="shared" si="16"/>
        <v>4.5176033196792762</v>
      </c>
      <c r="Z8" s="3">
        <f t="shared" si="17"/>
        <v>2.4118150355168511</v>
      </c>
      <c r="AA8" s="3">
        <f t="shared" si="18"/>
        <v>812.72802256436114</v>
      </c>
      <c r="AB8" s="3"/>
      <c r="AC8" s="3"/>
      <c r="AD8" s="15"/>
    </row>
    <row r="9" spans="1:30">
      <c r="A9" s="7">
        <f t="shared" si="3"/>
        <v>490</v>
      </c>
      <c r="B9" s="3">
        <f t="shared" si="3"/>
        <v>-50.575200000000002</v>
      </c>
      <c r="D9" s="1">
        <f t="shared" si="19"/>
        <v>7</v>
      </c>
      <c r="E9" s="2">
        <f t="shared" si="20"/>
        <v>10</v>
      </c>
      <c r="F9" s="2">
        <f t="shared" si="20"/>
        <v>2.1206999999999998</v>
      </c>
      <c r="G9" s="2">
        <f t="shared" si="4"/>
        <v>1.4995613508623111</v>
      </c>
      <c r="H9" s="20">
        <f t="shared" si="0"/>
        <v>14.166666666666664</v>
      </c>
      <c r="I9" s="2">
        <f t="shared" si="21"/>
        <v>140</v>
      </c>
      <c r="J9" s="20">
        <f t="shared" si="5"/>
        <v>64.741866666666667</v>
      </c>
      <c r="K9" s="2">
        <f t="shared" si="21"/>
        <v>140</v>
      </c>
      <c r="L9" s="2">
        <f t="shared" si="6"/>
        <v>154.24496523220603</v>
      </c>
      <c r="M9" s="2">
        <f t="shared" si="7"/>
        <v>0.46244190476190478</v>
      </c>
      <c r="N9" s="2">
        <f t="shared" si="8"/>
        <v>24.817799208056691</v>
      </c>
      <c r="P9" s="4">
        <f t="shared" si="9"/>
        <v>0.15471417982216357</v>
      </c>
      <c r="Q9" s="4">
        <f t="shared" si="10"/>
        <v>0.24830629320408934</v>
      </c>
      <c r="R9" s="4">
        <f t="shared" si="11"/>
        <v>1.6098178169399562E-3</v>
      </c>
      <c r="S9" s="4">
        <f t="shared" si="1"/>
        <v>0.12982459851278674</v>
      </c>
      <c r="T9" s="2">
        <f t="shared" si="2"/>
        <v>138.23739954447123</v>
      </c>
      <c r="U9" s="6">
        <f t="shared" si="12"/>
        <v>0.14485798163070829</v>
      </c>
      <c r="V9" s="4">
        <f t="shared" si="13"/>
        <v>0.93629415091244705</v>
      </c>
      <c r="W9" s="4">
        <f t="shared" si="14"/>
        <v>0.99698243797091635</v>
      </c>
      <c r="X9" s="3">
        <f t="shared" si="15"/>
        <v>4.9930340917706042</v>
      </c>
      <c r="Y9" s="8">
        <f t="shared" si="16"/>
        <v>4.5319130630652804</v>
      </c>
      <c r="Z9" s="3">
        <f t="shared" si="17"/>
        <v>2.0957465090992673</v>
      </c>
      <c r="AA9" s="3">
        <f t="shared" si="18"/>
        <v>770.15036988837619</v>
      </c>
      <c r="AB9" s="3"/>
      <c r="AC9" s="3"/>
      <c r="AD9" s="15"/>
    </row>
    <row r="10" spans="1:30">
      <c r="A10" s="7">
        <f t="shared" si="3"/>
        <v>490</v>
      </c>
      <c r="B10" s="3">
        <f t="shared" si="3"/>
        <v>-50.575200000000002</v>
      </c>
      <c r="D10" s="1">
        <f t="shared" si="19"/>
        <v>8</v>
      </c>
      <c r="E10" s="2">
        <f t="shared" si="20"/>
        <v>10</v>
      </c>
      <c r="F10" s="2">
        <f t="shared" si="20"/>
        <v>2.1206999999999998</v>
      </c>
      <c r="G10" s="2">
        <f t="shared" si="4"/>
        <v>1.4995613508623111</v>
      </c>
      <c r="H10" s="20">
        <f t="shared" si="0"/>
        <v>4.1666666666666643</v>
      </c>
      <c r="I10" s="2">
        <f t="shared" si="21"/>
        <v>140</v>
      </c>
      <c r="J10" s="20">
        <f t="shared" si="5"/>
        <v>54.741866666666667</v>
      </c>
      <c r="K10" s="2">
        <f t="shared" si="21"/>
        <v>140</v>
      </c>
      <c r="L10" s="2">
        <f t="shared" si="6"/>
        <v>150.32189450027269</v>
      </c>
      <c r="M10" s="2">
        <f t="shared" si="7"/>
        <v>0.39101333333333332</v>
      </c>
      <c r="N10" s="2">
        <f t="shared" si="8"/>
        <v>21.35616101486978</v>
      </c>
      <c r="P10" s="4">
        <f t="shared" si="9"/>
        <v>0.16171006627681384</v>
      </c>
      <c r="Q10" s="4">
        <f t="shared" si="10"/>
        <v>0.26830139586683699</v>
      </c>
      <c r="R10" s="4">
        <f t="shared" si="11"/>
        <v>1.7848457588881057E-3</v>
      </c>
      <c r="S10" s="4">
        <f t="shared" si="1"/>
        <v>0.12982459851278674</v>
      </c>
      <c r="T10" s="2">
        <f t="shared" si="2"/>
        <v>138.23739954447123</v>
      </c>
      <c r="U10" s="6">
        <f t="shared" si="12"/>
        <v>0.14117365970054449</v>
      </c>
      <c r="V10" s="4">
        <f t="shared" si="13"/>
        <v>0.87300477299220625</v>
      </c>
      <c r="W10" s="4">
        <f t="shared" si="14"/>
        <v>0.99175665252768297</v>
      </c>
      <c r="X10" s="3">
        <f t="shared" si="15"/>
        <v>4.8528007383017417</v>
      </c>
      <c r="Y10" s="8">
        <f t="shared" si="16"/>
        <v>4.5195818321795524</v>
      </c>
      <c r="Z10" s="3">
        <f t="shared" si="17"/>
        <v>1.7672167574733006</v>
      </c>
      <c r="AA10" s="3">
        <f t="shared" si="18"/>
        <v>729.48220061383984</v>
      </c>
      <c r="AB10" s="3"/>
      <c r="AC10" s="3"/>
      <c r="AD10" s="15"/>
    </row>
    <row r="11" spans="1:30">
      <c r="A11" s="7">
        <f t="shared" si="3"/>
        <v>490</v>
      </c>
      <c r="B11" s="3">
        <f t="shared" si="3"/>
        <v>-50.575200000000002</v>
      </c>
      <c r="D11" s="1">
        <f t="shared" si="19"/>
        <v>9</v>
      </c>
      <c r="E11" s="2">
        <f t="shared" si="20"/>
        <v>10</v>
      </c>
      <c r="F11" s="2">
        <f t="shared" si="20"/>
        <v>2.1206999999999998</v>
      </c>
      <c r="G11" s="2">
        <f t="shared" si="4"/>
        <v>1.4995613508623111</v>
      </c>
      <c r="H11" s="20">
        <f t="shared" si="0"/>
        <v>-5.8333333333333357</v>
      </c>
      <c r="I11" s="2">
        <f t="shared" si="21"/>
        <v>140</v>
      </c>
      <c r="J11" s="20">
        <f t="shared" si="5"/>
        <v>44.741866666666667</v>
      </c>
      <c r="K11" s="2">
        <f t="shared" si="21"/>
        <v>140</v>
      </c>
      <c r="L11" s="2">
        <f t="shared" si="6"/>
        <v>146.97562598205792</v>
      </c>
      <c r="M11" s="2">
        <f t="shared" si="7"/>
        <v>0.31958476190476193</v>
      </c>
      <c r="N11" s="2">
        <f t="shared" si="8"/>
        <v>17.723087574593251</v>
      </c>
      <c r="P11" s="4">
        <f t="shared" si="9"/>
        <v>0.17070001273132487</v>
      </c>
      <c r="Q11" s="4">
        <f t="shared" si="10"/>
        <v>0.29433878486520637</v>
      </c>
      <c r="R11" s="4">
        <f t="shared" si="11"/>
        <v>2.0026367154315629E-3</v>
      </c>
      <c r="S11" s="4">
        <f t="shared" si="1"/>
        <v>0.12982459851278674</v>
      </c>
      <c r="T11" s="2">
        <f t="shared" si="2"/>
        <v>138.23739954447123</v>
      </c>
      <c r="U11" s="6">
        <f t="shared" si="12"/>
        <v>0.13803103716623202</v>
      </c>
      <c r="V11" s="4">
        <f t="shared" si="13"/>
        <v>0.80861761494703266</v>
      </c>
      <c r="W11" s="4">
        <f t="shared" si="14"/>
        <v>0.98407541307210256</v>
      </c>
      <c r="X11" s="3">
        <f t="shared" si="15"/>
        <v>4.7028487413518691</v>
      </c>
      <c r="Y11" s="8">
        <f t="shared" si="16"/>
        <v>4.4796463317641244</v>
      </c>
      <c r="Z11" s="3">
        <f t="shared" si="17"/>
        <v>1.4316267063543777</v>
      </c>
      <c r="AA11" s="3">
        <f t="shared" si="18"/>
        <v>691.20413765912417</v>
      </c>
      <c r="AB11" s="3"/>
      <c r="AC11" s="3"/>
      <c r="AD11" s="15"/>
    </row>
    <row r="12" spans="1:30">
      <c r="A12" s="7">
        <f t="shared" si="3"/>
        <v>490</v>
      </c>
      <c r="B12" s="3">
        <f t="shared" si="3"/>
        <v>-50.575200000000002</v>
      </c>
      <c r="D12" s="1">
        <f t="shared" si="19"/>
        <v>10</v>
      </c>
      <c r="E12" s="2">
        <f t="shared" si="20"/>
        <v>10</v>
      </c>
      <c r="F12" s="2">
        <f t="shared" si="20"/>
        <v>2.1206999999999998</v>
      </c>
      <c r="G12" s="2">
        <f t="shared" si="4"/>
        <v>1.4995613508623111</v>
      </c>
      <c r="H12" s="20">
        <f t="shared" si="0"/>
        <v>-15.833333333333336</v>
      </c>
      <c r="I12" s="2">
        <f t="shared" si="21"/>
        <v>140</v>
      </c>
      <c r="J12" s="20">
        <f t="shared" si="5"/>
        <v>34.741866666666667</v>
      </c>
      <c r="K12" s="2">
        <f t="shared" si="21"/>
        <v>140</v>
      </c>
      <c r="L12" s="2">
        <f t="shared" si="6"/>
        <v>144.24630774991934</v>
      </c>
      <c r="M12" s="2">
        <f t="shared" si="7"/>
        <v>0.24815619047619047</v>
      </c>
      <c r="N12" s="2">
        <f t="shared" si="8"/>
        <v>13.936772174436934</v>
      </c>
      <c r="P12" s="4">
        <f t="shared" si="9"/>
        <v>0.18275000855144835</v>
      </c>
      <c r="Q12" s="4">
        <f t="shared" si="10"/>
        <v>0.32955896521546729</v>
      </c>
      <c r="R12" s="4">
        <f t="shared" si="11"/>
        <v>2.2846960199967513E-3</v>
      </c>
      <c r="S12" s="4">
        <f t="shared" si="1"/>
        <v>0.12982459851278674</v>
      </c>
      <c r="T12" s="2">
        <f t="shared" si="2"/>
        <v>138.23739954447123</v>
      </c>
      <c r="U12" s="6">
        <f t="shared" si="12"/>
        <v>0.13546781878344535</v>
      </c>
      <c r="V12" s="4">
        <f t="shared" si="13"/>
        <v>0.74127393950467602</v>
      </c>
      <c r="W12" s="4">
        <f t="shared" si="14"/>
        <v>0.97334556991525112</v>
      </c>
      <c r="X12" s="3">
        <f t="shared" si="15"/>
        <v>4.5448115831577152</v>
      </c>
      <c r="Y12" s="8">
        <f t="shared" si="16"/>
        <v>4.411021894197745</v>
      </c>
      <c r="Z12" s="3">
        <f t="shared" si="17"/>
        <v>1.0946223893711822</v>
      </c>
      <c r="AA12" s="3">
        <f t="shared" si="18"/>
        <v>655.5722902895659</v>
      </c>
      <c r="AB12" s="3"/>
      <c r="AC12" s="3"/>
      <c r="AD12" s="15"/>
    </row>
    <row r="13" spans="1:30">
      <c r="A13" s="7"/>
      <c r="B13" s="3"/>
      <c r="D13" s="1"/>
      <c r="E13" s="2"/>
      <c r="F13" s="2"/>
      <c r="G13" s="2"/>
      <c r="H13" s="20"/>
      <c r="I13" s="2"/>
      <c r="J13" s="20"/>
      <c r="K13" s="2"/>
      <c r="L13" s="2"/>
      <c r="M13" s="2"/>
      <c r="N13" s="2"/>
      <c r="P13" s="4"/>
      <c r="Q13" s="4"/>
      <c r="R13" s="4"/>
      <c r="S13" s="4"/>
      <c r="T13" s="2"/>
      <c r="U13" s="6"/>
      <c r="V13" s="4"/>
      <c r="W13" s="4"/>
      <c r="X13" s="3"/>
      <c r="Y13" s="8"/>
      <c r="Z13" s="3"/>
      <c r="AA13" s="3"/>
      <c r="AB13" s="3"/>
      <c r="AC13" s="3"/>
      <c r="AD13" s="15"/>
    </row>
    <row r="14" spans="1:30">
      <c r="A14" s="7"/>
      <c r="B14" s="3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P14" s="4"/>
      <c r="Q14" s="4"/>
      <c r="R14" s="4"/>
      <c r="S14" s="4"/>
      <c r="T14" s="2"/>
      <c r="U14" s="6"/>
      <c r="V14" s="4"/>
      <c r="W14" s="4"/>
      <c r="X14" s="3"/>
      <c r="Y14" s="8"/>
      <c r="Z14" s="3"/>
      <c r="AA14" s="3"/>
      <c r="AB14" s="3"/>
      <c r="AC14" s="3"/>
      <c r="AD14" s="15"/>
    </row>
    <row r="15" spans="1:30" ht="22.5" customHeight="1">
      <c r="A15" s="11" t="s">
        <v>28</v>
      </c>
      <c r="B15" s="11" t="s">
        <v>37</v>
      </c>
      <c r="C15" s="12"/>
      <c r="D15" s="13" t="s">
        <v>1</v>
      </c>
      <c r="E15" s="11" t="s">
        <v>21</v>
      </c>
      <c r="F15" s="13" t="s">
        <v>2</v>
      </c>
      <c r="G15" s="13" t="s">
        <v>3</v>
      </c>
      <c r="H15" s="13" t="s">
        <v>38</v>
      </c>
      <c r="I15" s="13" t="s">
        <v>39</v>
      </c>
      <c r="J15" s="11" t="s">
        <v>42</v>
      </c>
      <c r="K15" s="11" t="s">
        <v>43</v>
      </c>
      <c r="L15" s="11" t="s">
        <v>165</v>
      </c>
      <c r="M15" s="13" t="s">
        <v>19</v>
      </c>
      <c r="N15" s="13" t="s">
        <v>20</v>
      </c>
      <c r="O15" s="12"/>
      <c r="P15" s="14" t="s">
        <v>6</v>
      </c>
      <c r="Q15" s="14" t="s">
        <v>7</v>
      </c>
      <c r="R15" s="14" t="s">
        <v>8</v>
      </c>
      <c r="S15" s="14" t="s">
        <v>22</v>
      </c>
      <c r="T15" s="14" t="s">
        <v>23</v>
      </c>
      <c r="U15" s="14" t="s">
        <v>9</v>
      </c>
      <c r="V15" s="14" t="s">
        <v>10</v>
      </c>
      <c r="W15" s="14" t="s">
        <v>12</v>
      </c>
      <c r="X15" s="14" t="s">
        <v>13</v>
      </c>
      <c r="Y15" s="14" t="s">
        <v>14</v>
      </c>
      <c r="Z15" s="14" t="s">
        <v>15</v>
      </c>
      <c r="AA15" s="14" t="s">
        <v>16</v>
      </c>
      <c r="AB15" s="14" t="s">
        <v>41</v>
      </c>
      <c r="AC15" s="14" t="s">
        <v>29</v>
      </c>
      <c r="AD15" s="14" t="s">
        <v>27</v>
      </c>
    </row>
    <row r="16" spans="1:30" ht="22.5" customHeight="1">
      <c r="A16" s="11" t="s">
        <v>24</v>
      </c>
      <c r="B16" s="11" t="s">
        <v>4</v>
      </c>
      <c r="C16" s="12"/>
      <c r="D16" s="13" t="s">
        <v>0</v>
      </c>
      <c r="E16" s="13" t="s">
        <v>4</v>
      </c>
      <c r="F16" s="13" t="s">
        <v>4</v>
      </c>
      <c r="G16" s="13" t="s">
        <v>4</v>
      </c>
      <c r="H16" s="13" t="s">
        <v>4</v>
      </c>
      <c r="I16" s="13" t="s">
        <v>4</v>
      </c>
      <c r="J16" s="13" t="s">
        <v>4</v>
      </c>
      <c r="K16" s="13" t="s">
        <v>4</v>
      </c>
      <c r="L16" s="13" t="s">
        <v>4</v>
      </c>
      <c r="M16" s="13" t="s">
        <v>45</v>
      </c>
      <c r="N16" s="13" t="s">
        <v>5</v>
      </c>
      <c r="O16" s="12"/>
      <c r="P16" s="13" t="s">
        <v>4</v>
      </c>
      <c r="Q16" s="13" t="s">
        <v>4</v>
      </c>
      <c r="R16" s="13"/>
      <c r="S16" s="13" t="s">
        <v>4</v>
      </c>
      <c r="T16" s="13" t="s">
        <v>4</v>
      </c>
      <c r="U16" s="13" t="s">
        <v>4</v>
      </c>
      <c r="V16" s="14" t="s">
        <v>11</v>
      </c>
      <c r="W16" s="13"/>
      <c r="X16" s="13" t="s">
        <v>18</v>
      </c>
      <c r="Y16" s="13" t="s">
        <v>18</v>
      </c>
      <c r="Z16" s="13" t="s">
        <v>18</v>
      </c>
      <c r="AA16" s="13" t="s">
        <v>17</v>
      </c>
      <c r="AB16" s="14" t="s">
        <v>4</v>
      </c>
      <c r="AC16" s="14" t="s">
        <v>18</v>
      </c>
      <c r="AD16" s="13" t="s">
        <v>17</v>
      </c>
    </row>
    <row r="17" spans="1:30">
      <c r="A17" s="7">
        <f>A3</f>
        <v>490</v>
      </c>
      <c r="B17" s="3">
        <f>B3</f>
        <v>-50.575200000000002</v>
      </c>
      <c r="D17" s="1">
        <f>MAX(D3:D14)+1</f>
        <v>11</v>
      </c>
      <c r="E17" s="2">
        <f>E3</f>
        <v>10</v>
      </c>
      <c r="F17" s="2">
        <f>F3</f>
        <v>2.1206999999999998</v>
      </c>
      <c r="G17" s="2">
        <f t="shared" si="4"/>
        <v>1.4995613508623111</v>
      </c>
      <c r="H17" s="2">
        <f>-$AB$3</f>
        <v>-20.833333333333336</v>
      </c>
      <c r="I17" s="2">
        <f t="shared" ref="I17:I30" si="22">E17*(MAX($D$17:$D$59)-D17+0.5)</f>
        <v>135</v>
      </c>
      <c r="J17" s="20">
        <f t="shared" ref="J17:J30" si="23">H17-B17</f>
        <v>29.741866666666667</v>
      </c>
      <c r="K17" s="2">
        <f>I17</f>
        <v>135</v>
      </c>
      <c r="L17" s="2">
        <f t="shared" ref="L17:L30" si="24">SQRT(J17^2+K17^2)</f>
        <v>138.23739954447123</v>
      </c>
      <c r="M17" s="2">
        <f>IF(J17=0,"infinity",ABS(K17/J17))</f>
        <v>4.5390560556611552</v>
      </c>
      <c r="N17" s="2">
        <f>IF(J17=0,90,ATAN(M17)*180/PI())</f>
        <v>77.575634116233473</v>
      </c>
      <c r="P17" s="4">
        <f>0.209 * (ABS(N17)+2)^-0.32 * F17</f>
        <v>0.10923854021451386</v>
      </c>
      <c r="Q17" s="4">
        <f t="shared" si="10"/>
        <v>0.12982459851278674</v>
      </c>
      <c r="R17" s="4">
        <f t="shared" si="11"/>
        <v>9.3914236625249829E-4</v>
      </c>
      <c r="S17" s="4">
        <f t="shared" ref="S17:S30" si="25">INDEX($Q$3:$Q$59, MATCH(MIN($R$3:$R$59),$R$3:$R$59,0))</f>
        <v>0.12982459851278674</v>
      </c>
      <c r="T17" s="2">
        <f t="shared" ref="T17:T30" si="26">INDEX($L$3:$L$59, MATCH(MIN($R$3:$R$59),$R$3:$R$59,0))</f>
        <v>138.23739954447123</v>
      </c>
      <c r="U17" s="6">
        <f t="shared" si="12"/>
        <v>0.12982459851278674</v>
      </c>
      <c r="V17" s="4">
        <f t="shared" si="13"/>
        <v>1.1884505070998537</v>
      </c>
      <c r="W17" s="4">
        <f t="shared" si="14"/>
        <v>0.99604664309182089</v>
      </c>
      <c r="X17" s="3">
        <f t="shared" si="15"/>
        <v>6.5102451201297704</v>
      </c>
      <c r="Y17" s="8">
        <f>X17*SIN(N17*PI()/180)</f>
        <v>6.3577808473949231</v>
      </c>
      <c r="Z17" s="3">
        <f>X17*COS(N17*PI()/180)</f>
        <v>1.4006834834007924</v>
      </c>
      <c r="AA17" s="3">
        <f t="shared" si="18"/>
        <v>899.9593558038232</v>
      </c>
      <c r="AB17" s="3">
        <f>AD17/AC18+MAX($D$3:$D$14)*E3-AB3</f>
        <v>206.22890211128473</v>
      </c>
      <c r="AC17" s="3">
        <f>stiffener_C_shaped_weld!C87</f>
        <v>59.497660446043355</v>
      </c>
      <c r="AD17" s="3">
        <f>stiffener_C_shaped_weld!C85*1000/2</f>
        <v>5553.1149749640463</v>
      </c>
    </row>
    <row r="18" spans="1:30">
      <c r="A18" s="7">
        <f t="shared" si="3"/>
        <v>490</v>
      </c>
      <c r="B18" s="3">
        <f t="shared" si="3"/>
        <v>-50.575200000000002</v>
      </c>
      <c r="D18" s="1">
        <f>D17+1</f>
        <v>12</v>
      </c>
      <c r="E18" s="2">
        <f t="shared" si="20"/>
        <v>10</v>
      </c>
      <c r="F18" s="2">
        <f t="shared" si="20"/>
        <v>2.1206999999999998</v>
      </c>
      <c r="G18" s="2">
        <f t="shared" si="4"/>
        <v>1.4995613508623111</v>
      </c>
      <c r="H18" s="2">
        <f t="shared" ref="H18:H30" si="27">-$AB$3</f>
        <v>-20.833333333333336</v>
      </c>
      <c r="I18" s="2">
        <f t="shared" si="22"/>
        <v>125</v>
      </c>
      <c r="J18" s="20">
        <f t="shared" si="23"/>
        <v>29.741866666666667</v>
      </c>
      <c r="K18" s="2">
        <f t="shared" ref="K18:K30" si="28">I18</f>
        <v>125</v>
      </c>
      <c r="L18" s="2">
        <f t="shared" si="24"/>
        <v>128.48960515472751</v>
      </c>
      <c r="M18" s="2">
        <f t="shared" ref="M18:M30" si="29">IF(J18=0,"infinity",ABS(K18/J18))</f>
        <v>4.2028296811677368</v>
      </c>
      <c r="N18" s="2">
        <f t="shared" ref="N18:N30" si="30">IF(J18=0,90,ATAN(M18)*180/PI())</f>
        <v>76.616194600398771</v>
      </c>
      <c r="P18" s="4">
        <f t="shared" si="9"/>
        <v>0.10966339245130356</v>
      </c>
      <c r="Q18" s="4">
        <f t="shared" si="10"/>
        <v>0.1308026097162921</v>
      </c>
      <c r="R18" s="4">
        <f t="shared" si="11"/>
        <v>1.0180014917065023E-3</v>
      </c>
      <c r="S18" s="4">
        <f t="shared" si="25"/>
        <v>0.12982459851278674</v>
      </c>
      <c r="T18" s="2">
        <f t="shared" si="26"/>
        <v>138.23739954447123</v>
      </c>
      <c r="U18" s="6">
        <f t="shared" si="12"/>
        <v>0.12067003182386001</v>
      </c>
      <c r="V18" s="4">
        <f t="shared" si="13"/>
        <v>1.1003674893373738</v>
      </c>
      <c r="W18" s="4">
        <f t="shared" si="14"/>
        <v>1.0002910449550211</v>
      </c>
      <c r="X18" s="3">
        <f t="shared" si="15"/>
        <v>6.525775815116087</v>
      </c>
      <c r="Y18" s="8">
        <f t="shared" ref="Y18:Y30" si="31">X18*SIN(N18*PI()/180)</f>
        <v>6.3485445060494694</v>
      </c>
      <c r="Z18" s="3">
        <f t="shared" ref="Z18:Z30" si="32">X18*COS(N18*PI()/180)</f>
        <v>1.5105405138105805</v>
      </c>
      <c r="AA18" s="3">
        <f t="shared" si="18"/>
        <v>838.49435781253612</v>
      </c>
      <c r="AB18" s="3"/>
      <c r="AC18" s="17">
        <f>stiffener_C_shaped_weld!C86</f>
        <v>43.703897979856123</v>
      </c>
      <c r="AD18" s="3"/>
    </row>
    <row r="19" spans="1:30">
      <c r="A19" s="7">
        <f t="shared" si="3"/>
        <v>490</v>
      </c>
      <c r="B19" s="3">
        <f t="shared" si="3"/>
        <v>-50.575200000000002</v>
      </c>
      <c r="D19" s="1">
        <f t="shared" ref="D19:D30" si="33">D18+1</f>
        <v>13</v>
      </c>
      <c r="E19" s="2">
        <f t="shared" si="20"/>
        <v>10</v>
      </c>
      <c r="F19" s="2">
        <f t="shared" si="20"/>
        <v>2.1206999999999998</v>
      </c>
      <c r="G19" s="2">
        <f t="shared" si="4"/>
        <v>1.4995613508623111</v>
      </c>
      <c r="H19" s="2">
        <f t="shared" si="27"/>
        <v>-20.833333333333336</v>
      </c>
      <c r="I19" s="2">
        <f t="shared" si="22"/>
        <v>115</v>
      </c>
      <c r="J19" s="20">
        <f t="shared" si="23"/>
        <v>29.741866666666667</v>
      </c>
      <c r="K19" s="2">
        <f t="shared" si="28"/>
        <v>115</v>
      </c>
      <c r="L19" s="2">
        <f t="shared" si="24"/>
        <v>118.78374734288263</v>
      </c>
      <c r="M19" s="2">
        <f t="shared" si="29"/>
        <v>3.8666033066743175</v>
      </c>
      <c r="N19" s="2">
        <f t="shared" si="30"/>
        <v>75.499605643288717</v>
      </c>
      <c r="P19" s="4">
        <f t="shared" si="9"/>
        <v>0.11016653368289006</v>
      </c>
      <c r="Q19" s="4">
        <f t="shared" si="10"/>
        <v>0.13196467749049087</v>
      </c>
      <c r="R19" s="4">
        <f t="shared" si="11"/>
        <v>1.1109657713488361E-3</v>
      </c>
      <c r="S19" s="4">
        <f t="shared" si="25"/>
        <v>0.12982459851278674</v>
      </c>
      <c r="T19" s="2">
        <f t="shared" si="26"/>
        <v>138.23739954447123</v>
      </c>
      <c r="U19" s="6">
        <f t="shared" si="12"/>
        <v>0.1115548495519337</v>
      </c>
      <c r="V19" s="4">
        <f t="shared" si="13"/>
        <v>1.0126019746889727</v>
      </c>
      <c r="W19" s="4">
        <f t="shared" si="14"/>
        <v>1.0003350496163765</v>
      </c>
      <c r="X19" s="3">
        <f t="shared" si="15"/>
        <v>6.5107629632525814</v>
      </c>
      <c r="Y19" s="8">
        <f t="shared" si="31"/>
        <v>6.3033685796486214</v>
      </c>
      <c r="Z19" s="3">
        <f t="shared" si="32"/>
        <v>1.6302082421457877</v>
      </c>
      <c r="AA19" s="3">
        <f t="shared" si="18"/>
        <v>773.37282283639252</v>
      </c>
      <c r="AB19" s="14" t="s">
        <v>46</v>
      </c>
      <c r="AC19" s="3"/>
      <c r="AD19" s="3"/>
    </row>
    <row r="20" spans="1:30">
      <c r="A20" s="7">
        <f t="shared" ref="A20:B30" si="34">A19</f>
        <v>490</v>
      </c>
      <c r="B20" s="3">
        <f t="shared" si="34"/>
        <v>-50.575200000000002</v>
      </c>
      <c r="D20" s="1">
        <f t="shared" si="33"/>
        <v>14</v>
      </c>
      <c r="E20" s="2">
        <f t="shared" si="20"/>
        <v>10</v>
      </c>
      <c r="F20" s="2">
        <f t="shared" si="20"/>
        <v>2.1206999999999998</v>
      </c>
      <c r="G20" s="2">
        <f t="shared" si="4"/>
        <v>1.4995613508623111</v>
      </c>
      <c r="H20" s="2">
        <f t="shared" si="27"/>
        <v>-20.833333333333336</v>
      </c>
      <c r="I20" s="2">
        <f t="shared" si="22"/>
        <v>105</v>
      </c>
      <c r="J20" s="20">
        <f t="shared" si="23"/>
        <v>29.741866666666667</v>
      </c>
      <c r="K20" s="2">
        <f t="shared" si="28"/>
        <v>105</v>
      </c>
      <c r="L20" s="2">
        <f t="shared" si="24"/>
        <v>109.1310159066513</v>
      </c>
      <c r="M20" s="2">
        <f t="shared" si="29"/>
        <v>3.5303769321808987</v>
      </c>
      <c r="N20" s="2">
        <f t="shared" si="30"/>
        <v>74.184914476760611</v>
      </c>
      <c r="P20" s="4">
        <f t="shared" si="9"/>
        <v>0.1107713497171515</v>
      </c>
      <c r="Q20" s="4">
        <f t="shared" si="10"/>
        <v>0.1333670499414126</v>
      </c>
      <c r="R20" s="4">
        <f t="shared" si="11"/>
        <v>1.2220819978024614E-3</v>
      </c>
      <c r="S20" s="4">
        <f t="shared" si="25"/>
        <v>0.12982459851278674</v>
      </c>
      <c r="T20" s="2">
        <f t="shared" si="26"/>
        <v>138.23739954447123</v>
      </c>
      <c r="U20" s="6">
        <f t="shared" si="12"/>
        <v>0.10248956051011153</v>
      </c>
      <c r="V20" s="4">
        <f t="shared" si="13"/>
        <v>0.92523527764004809</v>
      </c>
      <c r="W20" s="4">
        <f t="shared" si="14"/>
        <v>0.99623127941017797</v>
      </c>
      <c r="X20" s="3">
        <f t="shared" si="15"/>
        <v>6.4646374505891409</v>
      </c>
      <c r="Y20" s="8">
        <f t="shared" si="31"/>
        <v>6.2199268161535484</v>
      </c>
      <c r="Z20" s="3">
        <f t="shared" si="32"/>
        <v>1.7618308004044125</v>
      </c>
      <c r="AA20" s="3">
        <f t="shared" si="18"/>
        <v>705.49245245097723</v>
      </c>
      <c r="AB20" s="14" t="s">
        <v>4</v>
      </c>
      <c r="AC20" s="3"/>
      <c r="AD20" s="3"/>
    </row>
    <row r="21" spans="1:30">
      <c r="A21" s="7">
        <f t="shared" si="34"/>
        <v>490</v>
      </c>
      <c r="B21" s="3">
        <f t="shared" si="34"/>
        <v>-50.575200000000002</v>
      </c>
      <c r="D21" s="1">
        <f t="shared" si="33"/>
        <v>15</v>
      </c>
      <c r="E21" s="2">
        <f t="shared" ref="E21:F30" si="35">E20</f>
        <v>10</v>
      </c>
      <c r="F21" s="2">
        <f t="shared" si="35"/>
        <v>2.1206999999999998</v>
      </c>
      <c r="G21" s="2">
        <f t="shared" si="4"/>
        <v>1.4995613508623111</v>
      </c>
      <c r="H21" s="2">
        <f t="shared" si="27"/>
        <v>-20.833333333333336</v>
      </c>
      <c r="I21" s="2">
        <f t="shared" si="22"/>
        <v>95</v>
      </c>
      <c r="J21" s="20">
        <f t="shared" si="23"/>
        <v>29.741866666666667</v>
      </c>
      <c r="K21" s="2">
        <f t="shared" si="28"/>
        <v>95</v>
      </c>
      <c r="L21" s="2">
        <f t="shared" si="24"/>
        <v>99.546866514309627</v>
      </c>
      <c r="M21" s="2">
        <f t="shared" si="29"/>
        <v>3.1941505576874798</v>
      </c>
      <c r="N21" s="2">
        <f t="shared" si="30"/>
        <v>72.616108158450643</v>
      </c>
      <c r="P21" s="4">
        <f t="shared" si="9"/>
        <v>0.11151135489308223</v>
      </c>
      <c r="Q21" s="4">
        <f t="shared" si="10"/>
        <v>0.13509095725869086</v>
      </c>
      <c r="R21" s="4">
        <f t="shared" si="11"/>
        <v>1.3570588607052926E-3</v>
      </c>
      <c r="S21" s="4">
        <f t="shared" si="25"/>
        <v>0.12982459851278674</v>
      </c>
      <c r="T21" s="2">
        <f t="shared" si="26"/>
        <v>138.23739954447123</v>
      </c>
      <c r="U21" s="6">
        <f t="shared" si="12"/>
        <v>9.348867977127033E-2</v>
      </c>
      <c r="V21" s="4">
        <f t="shared" si="13"/>
        <v>0.83837811728597367</v>
      </c>
      <c r="W21" s="4">
        <f t="shared" si="14"/>
        <v>0.98792943188060711</v>
      </c>
      <c r="X21" s="3">
        <f t="shared" si="15"/>
        <v>6.3857540582786925</v>
      </c>
      <c r="Y21" s="8">
        <f t="shared" si="31"/>
        <v>6.0940806755506642</v>
      </c>
      <c r="Z21" s="3">
        <f t="shared" si="32"/>
        <v>1.907887735875134</v>
      </c>
      <c r="AA21" s="3">
        <f t="shared" si="18"/>
        <v>635.68180683267997</v>
      </c>
      <c r="AB21" s="3">
        <f>AB17-B3</f>
        <v>256.80410211128475</v>
      </c>
      <c r="AC21" s="3"/>
      <c r="AD21" s="3"/>
    </row>
    <row r="22" spans="1:30" hidden="1">
      <c r="A22" s="7">
        <f t="shared" si="34"/>
        <v>490</v>
      </c>
      <c r="B22" s="3">
        <f t="shared" si="34"/>
        <v>-50.575200000000002</v>
      </c>
      <c r="D22" s="1">
        <f t="shared" si="33"/>
        <v>16</v>
      </c>
      <c r="E22" s="2">
        <f t="shared" si="35"/>
        <v>10</v>
      </c>
      <c r="F22" s="2">
        <f t="shared" si="35"/>
        <v>2.1206999999999998</v>
      </c>
      <c r="G22" s="2">
        <f t="shared" si="4"/>
        <v>1.4995613508623111</v>
      </c>
      <c r="H22" s="2">
        <f t="shared" si="27"/>
        <v>-20.833333333333336</v>
      </c>
      <c r="I22" s="2">
        <f t="shared" si="22"/>
        <v>85</v>
      </c>
      <c r="J22" s="20">
        <f t="shared" si="23"/>
        <v>29.741866666666667</v>
      </c>
      <c r="K22" s="2">
        <f t="shared" si="28"/>
        <v>85</v>
      </c>
      <c r="L22" s="2">
        <f t="shared" si="24"/>
        <v>90.053198903857819</v>
      </c>
      <c r="M22" s="2">
        <f t="shared" si="29"/>
        <v>2.8579241831940609</v>
      </c>
      <c r="N22" s="2">
        <f t="shared" si="30"/>
        <v>70.714838042056996</v>
      </c>
      <c r="P22" s="4">
        <f t="shared" si="9"/>
        <v>0.1124361974024066</v>
      </c>
      <c r="Q22" s="4">
        <f t="shared" si="10"/>
        <v>0.13725784889233733</v>
      </c>
      <c r="R22" s="4">
        <f t="shared" si="11"/>
        <v>1.5241862650417996E-3</v>
      </c>
      <c r="S22" s="4">
        <f t="shared" si="25"/>
        <v>0.12982459851278674</v>
      </c>
      <c r="T22" s="2">
        <f t="shared" si="26"/>
        <v>138.23739954447123</v>
      </c>
      <c r="U22" s="6">
        <f t="shared" si="12"/>
        <v>8.4572774307175913E-2</v>
      </c>
      <c r="V22" s="4">
        <f t="shared" si="13"/>
        <v>0.75218458344417216</v>
      </c>
      <c r="W22" s="4">
        <f t="shared" si="14"/>
        <v>0.97527900282432956</v>
      </c>
      <c r="X22" s="3">
        <f t="shared" si="15"/>
        <v>6.2711924116226463</v>
      </c>
      <c r="Y22" s="8">
        <f t="shared" si="31"/>
        <v>5.9192939448716171</v>
      </c>
      <c r="Z22" s="3">
        <f t="shared" si="32"/>
        <v>2.0711864855197528</v>
      </c>
      <c r="AA22" s="3">
        <f t="shared" si="18"/>
        <v>564.74093760821802</v>
      </c>
      <c r="AB22" s="3"/>
      <c r="AC22" s="3"/>
      <c r="AD22" s="3"/>
    </row>
    <row r="23" spans="1:30" hidden="1">
      <c r="A23" s="7">
        <f t="shared" si="34"/>
        <v>490</v>
      </c>
      <c r="B23" s="3">
        <f t="shared" si="34"/>
        <v>-50.575200000000002</v>
      </c>
      <c r="D23" s="1">
        <f t="shared" si="33"/>
        <v>17</v>
      </c>
      <c r="E23" s="2">
        <f t="shared" si="35"/>
        <v>10</v>
      </c>
      <c r="F23" s="2">
        <f t="shared" si="35"/>
        <v>2.1206999999999998</v>
      </c>
      <c r="G23" s="2">
        <f t="shared" si="4"/>
        <v>1.4995613508623111</v>
      </c>
      <c r="H23" s="2">
        <f t="shared" si="27"/>
        <v>-20.833333333333336</v>
      </c>
      <c r="I23" s="2">
        <f t="shared" si="22"/>
        <v>75</v>
      </c>
      <c r="J23" s="20">
        <f t="shared" si="23"/>
        <v>29.741866666666667</v>
      </c>
      <c r="K23" s="2">
        <f t="shared" si="28"/>
        <v>75</v>
      </c>
      <c r="L23" s="2">
        <f t="shared" si="24"/>
        <v>80.681959773035871</v>
      </c>
      <c r="M23" s="2">
        <f t="shared" si="29"/>
        <v>2.5216978087006421</v>
      </c>
      <c r="N23" s="2">
        <f t="shared" si="30"/>
        <v>68.368791443089947</v>
      </c>
      <c r="P23" s="4">
        <f t="shared" si="9"/>
        <v>0.11362238286535949</v>
      </c>
      <c r="Q23" s="4">
        <f t="shared" si="10"/>
        <v>0.14005699688889928</v>
      </c>
      <c r="R23" s="4">
        <f t="shared" si="11"/>
        <v>1.7359146615041285E-3</v>
      </c>
      <c r="S23" s="4">
        <f t="shared" si="25"/>
        <v>0.12982459851278674</v>
      </c>
      <c r="T23" s="2">
        <f t="shared" si="26"/>
        <v>138.23739954447123</v>
      </c>
      <c r="U23" s="6">
        <f t="shared" si="12"/>
        <v>7.5771846615137792E-2</v>
      </c>
      <c r="V23" s="4">
        <f t="shared" si="13"/>
        <v>0.66687429628127137</v>
      </c>
      <c r="W23" s="4">
        <f t="shared" si="14"/>
        <v>0.95802638418683128</v>
      </c>
      <c r="X23" s="3">
        <f t="shared" si="15"/>
        <v>6.1163804587844544</v>
      </c>
      <c r="Y23" s="8">
        <f t="shared" si="31"/>
        <v>5.68563946264159</v>
      </c>
      <c r="Z23" s="3">
        <f t="shared" si="32"/>
        <v>2.2546870775016612</v>
      </c>
      <c r="AA23" s="3">
        <f t="shared" si="18"/>
        <v>493.48156213223001</v>
      </c>
      <c r="AB23" s="3"/>
      <c r="AC23" s="3"/>
      <c r="AD23" s="3"/>
    </row>
    <row r="24" spans="1:30" hidden="1">
      <c r="A24" s="7">
        <f t="shared" si="34"/>
        <v>490</v>
      </c>
      <c r="B24" s="3">
        <f t="shared" si="34"/>
        <v>-50.575200000000002</v>
      </c>
      <c r="D24" s="1">
        <f t="shared" si="33"/>
        <v>18</v>
      </c>
      <c r="E24" s="2">
        <f t="shared" si="35"/>
        <v>10</v>
      </c>
      <c r="F24" s="2">
        <f t="shared" si="35"/>
        <v>2.1206999999999998</v>
      </c>
      <c r="G24" s="2">
        <f t="shared" si="4"/>
        <v>1.4995613508623111</v>
      </c>
      <c r="H24" s="2">
        <f t="shared" si="27"/>
        <v>-20.833333333333336</v>
      </c>
      <c r="I24" s="2">
        <f t="shared" si="22"/>
        <v>65</v>
      </c>
      <c r="J24" s="20">
        <f t="shared" si="23"/>
        <v>29.741866666666667</v>
      </c>
      <c r="K24" s="2">
        <f t="shared" si="28"/>
        <v>65</v>
      </c>
      <c r="L24" s="2">
        <f t="shared" si="24"/>
        <v>71.481316669587017</v>
      </c>
      <c r="M24" s="2">
        <f t="shared" si="29"/>
        <v>2.1854714342072232</v>
      </c>
      <c r="N24" s="2">
        <f t="shared" si="30"/>
        <v>65.412722485273278</v>
      </c>
      <c r="P24" s="4">
        <f t="shared" si="9"/>
        <v>0.11519354011548912</v>
      </c>
      <c r="Q24" s="4">
        <f t="shared" si="10"/>
        <v>0.14379859637444542</v>
      </c>
      <c r="R24" s="4">
        <f t="shared" si="11"/>
        <v>2.0116948466287424E-3</v>
      </c>
      <c r="S24" s="4">
        <f t="shared" si="25"/>
        <v>0.12982459851278674</v>
      </c>
      <c r="T24" s="2">
        <f t="shared" si="26"/>
        <v>138.23739954447123</v>
      </c>
      <c r="U24" s="6">
        <f t="shared" si="12"/>
        <v>6.7131132879920105E-2</v>
      </c>
      <c r="V24" s="4">
        <f t="shared" si="13"/>
        <v>0.58276820742392954</v>
      </c>
      <c r="W24" s="4">
        <f t="shared" si="14"/>
        <v>0.93581014625141401</v>
      </c>
      <c r="X24" s="3">
        <f t="shared" si="15"/>
        <v>5.9144695872224782</v>
      </c>
      <c r="Y24" s="8">
        <f t="shared" si="31"/>
        <v>5.3781958850378606</v>
      </c>
      <c r="Z24" s="3">
        <f t="shared" si="32"/>
        <v>2.4608859218463293</v>
      </c>
      <c r="AA24" s="3">
        <f t="shared" si="18"/>
        <v>422.77407349689156</v>
      </c>
      <c r="AB24" s="3"/>
      <c r="AC24" s="3"/>
      <c r="AD24" s="3"/>
    </row>
    <row r="25" spans="1:30" hidden="1">
      <c r="A25" s="7">
        <f t="shared" si="34"/>
        <v>490</v>
      </c>
      <c r="B25" s="3">
        <f t="shared" si="34"/>
        <v>-50.575200000000002</v>
      </c>
      <c r="D25" s="1">
        <f t="shared" si="33"/>
        <v>19</v>
      </c>
      <c r="E25" s="2">
        <f t="shared" si="35"/>
        <v>10</v>
      </c>
      <c r="F25" s="2">
        <f t="shared" si="35"/>
        <v>2.1206999999999998</v>
      </c>
      <c r="G25" s="2">
        <f t="shared" si="4"/>
        <v>1.4995613508623111</v>
      </c>
      <c r="H25" s="2">
        <f t="shared" si="27"/>
        <v>-20.833333333333336</v>
      </c>
      <c r="I25" s="2">
        <f t="shared" si="22"/>
        <v>55</v>
      </c>
      <c r="J25" s="20">
        <f t="shared" si="23"/>
        <v>29.741866666666667</v>
      </c>
      <c r="K25" s="2">
        <f t="shared" si="28"/>
        <v>55</v>
      </c>
      <c r="L25" s="2">
        <f t="shared" si="24"/>
        <v>62.526623392102167</v>
      </c>
      <c r="M25" s="2">
        <f t="shared" si="29"/>
        <v>1.8492450597138042</v>
      </c>
      <c r="N25" s="2">
        <f t="shared" si="30"/>
        <v>61.597196846313956</v>
      </c>
      <c r="P25" s="4">
        <f t="shared" si="9"/>
        <v>0.11736142413831907</v>
      </c>
      <c r="Q25" s="4">
        <f t="shared" si="10"/>
        <v>0.14902362865679719</v>
      </c>
      <c r="R25" s="4">
        <f t="shared" si="11"/>
        <v>2.3833628072681213E-3</v>
      </c>
      <c r="S25" s="4">
        <f t="shared" si="25"/>
        <v>0.12982459851278674</v>
      </c>
      <c r="T25" s="2">
        <f t="shared" si="26"/>
        <v>138.23739954447123</v>
      </c>
      <c r="U25" s="6">
        <f t="shared" si="12"/>
        <v>5.8721401046237631E-2</v>
      </c>
      <c r="V25" s="4">
        <f t="shared" si="13"/>
        <v>0.50034669805156884</v>
      </c>
      <c r="W25" s="4">
        <f t="shared" si="14"/>
        <v>0.90816272397684306</v>
      </c>
      <c r="X25" s="3">
        <f t="shared" si="15"/>
        <v>5.6553767585478782</v>
      </c>
      <c r="Y25" s="8">
        <f t="shared" si="31"/>
        <v>4.9746124905798439</v>
      </c>
      <c r="Z25" s="3">
        <f t="shared" si="32"/>
        <v>2.6900774802392782</v>
      </c>
      <c r="AA25" s="3">
        <f t="shared" si="18"/>
        <v>353.61161272217066</v>
      </c>
      <c r="AB25" s="3"/>
      <c r="AC25" s="3"/>
      <c r="AD25" s="3"/>
    </row>
    <row r="26" spans="1:30" hidden="1">
      <c r="A26" s="7">
        <f t="shared" si="34"/>
        <v>490</v>
      </c>
      <c r="B26" s="3">
        <f t="shared" si="34"/>
        <v>-50.575200000000002</v>
      </c>
      <c r="D26" s="1">
        <f t="shared" si="33"/>
        <v>20</v>
      </c>
      <c r="E26" s="2">
        <f t="shared" si="35"/>
        <v>10</v>
      </c>
      <c r="F26" s="2">
        <f t="shared" si="35"/>
        <v>2.1206999999999998</v>
      </c>
      <c r="G26" s="2">
        <f t="shared" si="4"/>
        <v>1.4995613508623111</v>
      </c>
      <c r="H26" s="2">
        <f t="shared" si="27"/>
        <v>-20.833333333333336</v>
      </c>
      <c r="I26" s="2">
        <f t="shared" si="22"/>
        <v>45</v>
      </c>
      <c r="J26" s="20">
        <f t="shared" si="23"/>
        <v>29.741866666666667</v>
      </c>
      <c r="K26" s="2">
        <f t="shared" si="28"/>
        <v>45</v>
      </c>
      <c r="L26" s="2">
        <f t="shared" si="24"/>
        <v>53.940510127526395</v>
      </c>
      <c r="M26" s="2">
        <f t="shared" si="29"/>
        <v>1.5130186852203851</v>
      </c>
      <c r="N26" s="2">
        <f t="shared" si="30"/>
        <v>56.538072979157448</v>
      </c>
      <c r="P26" s="4">
        <f t="shared" si="9"/>
        <v>0.12051614396411378</v>
      </c>
      <c r="Q26" s="4">
        <f t="shared" si="10"/>
        <v>0.15675263814962978</v>
      </c>
      <c r="R26" s="4">
        <f t="shared" si="11"/>
        <v>2.9060280998276528E-3</v>
      </c>
      <c r="S26" s="4">
        <f t="shared" si="25"/>
        <v>0.12982459851278674</v>
      </c>
      <c r="T26" s="2">
        <f t="shared" si="26"/>
        <v>138.23739954447123</v>
      </c>
      <c r="U26" s="6">
        <f t="shared" si="12"/>
        <v>5.065781831803199E-2</v>
      </c>
      <c r="V26" s="4">
        <f t="shared" si="13"/>
        <v>0.42034051747553774</v>
      </c>
      <c r="W26" s="4">
        <f t="shared" si="14"/>
        <v>0.87453769789311264</v>
      </c>
      <c r="X26" s="3">
        <f t="shared" si="15"/>
        <v>5.3245310219569237</v>
      </c>
      <c r="Y26" s="8">
        <f t="shared" si="31"/>
        <v>4.4420027808707951</v>
      </c>
      <c r="Z26" s="3">
        <f t="shared" si="32"/>
        <v>2.9358545431471508</v>
      </c>
      <c r="AA26" s="3">
        <f t="shared" si="18"/>
        <v>287.20791951419591</v>
      </c>
      <c r="AB26" s="3"/>
      <c r="AC26" s="3"/>
      <c r="AD26" s="3"/>
    </row>
    <row r="27" spans="1:30" hidden="1">
      <c r="A27" s="7">
        <f t="shared" si="34"/>
        <v>490</v>
      </c>
      <c r="B27" s="3">
        <f t="shared" si="34"/>
        <v>-50.575200000000002</v>
      </c>
      <c r="D27" s="1">
        <f t="shared" si="33"/>
        <v>21</v>
      </c>
      <c r="E27" s="2">
        <f t="shared" si="35"/>
        <v>10</v>
      </c>
      <c r="F27" s="2">
        <f t="shared" si="35"/>
        <v>2.1206999999999998</v>
      </c>
      <c r="G27" s="2">
        <f t="shared" si="4"/>
        <v>1.4995613508623111</v>
      </c>
      <c r="H27" s="2">
        <f t="shared" si="27"/>
        <v>-20.833333333333336</v>
      </c>
      <c r="I27" s="2">
        <f t="shared" si="22"/>
        <v>35</v>
      </c>
      <c r="J27" s="20">
        <f t="shared" si="23"/>
        <v>29.741866666666667</v>
      </c>
      <c r="K27" s="2">
        <f t="shared" si="28"/>
        <v>35</v>
      </c>
      <c r="L27" s="2">
        <f t="shared" si="24"/>
        <v>45.93014949701098</v>
      </c>
      <c r="M27" s="2">
        <f t="shared" si="29"/>
        <v>1.1767923107269662</v>
      </c>
      <c r="N27" s="2">
        <f t="shared" si="30"/>
        <v>49.643194036312963</v>
      </c>
      <c r="P27" s="4">
        <f t="shared" si="9"/>
        <v>0.12544730396799572</v>
      </c>
      <c r="Q27" s="4">
        <f t="shared" si="10"/>
        <v>0.16911843342144778</v>
      </c>
      <c r="R27" s="4">
        <f t="shared" si="11"/>
        <v>3.6820788800709997E-3</v>
      </c>
      <c r="S27" s="4">
        <f t="shared" si="25"/>
        <v>0.12982459851278674</v>
      </c>
      <c r="T27" s="2">
        <f t="shared" si="26"/>
        <v>138.23739954447123</v>
      </c>
      <c r="U27" s="6">
        <f t="shared" si="12"/>
        <v>4.3134949280953891E-2</v>
      </c>
      <c r="V27" s="4">
        <f t="shared" si="13"/>
        <v>0.34384915352153389</v>
      </c>
      <c r="W27" s="4">
        <f t="shared" si="14"/>
        <v>0.83439831683339938</v>
      </c>
      <c r="X27" s="3">
        <f t="shared" si="15"/>
        <v>4.9021382535114881</v>
      </c>
      <c r="Y27" s="8">
        <f t="shared" si="31"/>
        <v>3.7355602094016209</v>
      </c>
      <c r="Z27" s="3">
        <f t="shared" si="32"/>
        <v>3.1743581049522409</v>
      </c>
      <c r="AA27" s="3">
        <f t="shared" si="18"/>
        <v>225.15594283879895</v>
      </c>
      <c r="AB27" s="3"/>
      <c r="AC27" s="3"/>
      <c r="AD27" s="3"/>
    </row>
    <row r="28" spans="1:30" hidden="1">
      <c r="A28" s="7">
        <f t="shared" si="34"/>
        <v>490</v>
      </c>
      <c r="B28" s="3">
        <f t="shared" si="34"/>
        <v>-50.575200000000002</v>
      </c>
      <c r="D28" s="1">
        <f t="shared" si="33"/>
        <v>22</v>
      </c>
      <c r="E28" s="2">
        <f t="shared" si="35"/>
        <v>10</v>
      </c>
      <c r="F28" s="2">
        <f t="shared" si="35"/>
        <v>2.1206999999999998</v>
      </c>
      <c r="G28" s="2">
        <f t="shared" si="4"/>
        <v>1.4995613508623111</v>
      </c>
      <c r="H28" s="2">
        <f t="shared" si="27"/>
        <v>-20.833333333333336</v>
      </c>
      <c r="I28" s="2">
        <f t="shared" si="22"/>
        <v>25</v>
      </c>
      <c r="J28" s="20">
        <f t="shared" si="23"/>
        <v>29.741866666666667</v>
      </c>
      <c r="K28" s="2">
        <f t="shared" si="28"/>
        <v>25</v>
      </c>
      <c r="L28" s="2">
        <f t="shared" si="24"/>
        <v>38.853296292821511</v>
      </c>
      <c r="M28" s="2">
        <f t="shared" si="29"/>
        <v>0.84056593623354736</v>
      </c>
      <c r="N28" s="2">
        <f t="shared" si="30"/>
        <v>40.049265323277716</v>
      </c>
      <c r="P28" s="4">
        <f t="shared" si="9"/>
        <v>0.13397471151498083</v>
      </c>
      <c r="Q28" s="4">
        <f t="shared" si="10"/>
        <v>0.19125553899272102</v>
      </c>
      <c r="R28" s="4">
        <f t="shared" si="11"/>
        <v>4.9225048384905551E-3</v>
      </c>
      <c r="S28" s="4">
        <f t="shared" si="25"/>
        <v>0.12982459851278674</v>
      </c>
      <c r="T28" s="2">
        <f t="shared" si="26"/>
        <v>138.23739954447123</v>
      </c>
      <c r="U28" s="6">
        <f t="shared" si="12"/>
        <v>3.6488776617149818E-2</v>
      </c>
      <c r="V28" s="4">
        <f t="shared" si="13"/>
        <v>0.27235570209135851</v>
      </c>
      <c r="W28" s="4">
        <f t="shared" si="14"/>
        <v>0.78735553247574452</v>
      </c>
      <c r="X28" s="3">
        <f t="shared" si="15"/>
        <v>4.3670423175467601</v>
      </c>
      <c r="Y28" s="8">
        <f t="shared" si="31"/>
        <v>2.8099561261380086</v>
      </c>
      <c r="Z28" s="3">
        <f t="shared" si="32"/>
        <v>3.3429336177111941</v>
      </c>
      <c r="AA28" s="3">
        <f t="shared" si="18"/>
        <v>169.6739890869342</v>
      </c>
      <c r="AB28" s="3"/>
      <c r="AC28" s="3"/>
      <c r="AD28" s="3"/>
    </row>
    <row r="29" spans="1:30" hidden="1">
      <c r="A29" s="7">
        <f t="shared" si="34"/>
        <v>490</v>
      </c>
      <c r="B29" s="3">
        <f t="shared" si="34"/>
        <v>-50.575200000000002</v>
      </c>
      <c r="D29" s="1">
        <f t="shared" si="33"/>
        <v>23</v>
      </c>
      <c r="E29" s="2">
        <f t="shared" si="35"/>
        <v>10</v>
      </c>
      <c r="F29" s="2">
        <f t="shared" si="35"/>
        <v>2.1206999999999998</v>
      </c>
      <c r="G29" s="2">
        <f t="shared" si="4"/>
        <v>1.4995613508623111</v>
      </c>
      <c r="H29" s="2">
        <f t="shared" si="27"/>
        <v>-20.833333333333336</v>
      </c>
      <c r="I29" s="2">
        <f t="shared" si="22"/>
        <v>15</v>
      </c>
      <c r="J29" s="20">
        <f t="shared" si="23"/>
        <v>29.741866666666667</v>
      </c>
      <c r="K29" s="2">
        <f t="shared" si="28"/>
        <v>15</v>
      </c>
      <c r="L29" s="2">
        <f t="shared" si="24"/>
        <v>33.310338227309821</v>
      </c>
      <c r="M29" s="2">
        <f t="shared" si="29"/>
        <v>0.50433956174012839</v>
      </c>
      <c r="N29" s="2">
        <f t="shared" si="30"/>
        <v>26.763616564150357</v>
      </c>
      <c r="P29" s="4">
        <f t="shared" si="9"/>
        <v>0.15128490799001995</v>
      </c>
      <c r="Q29" s="4">
        <f t="shared" si="10"/>
        <v>0.23861848713767905</v>
      </c>
      <c r="R29" s="4">
        <f t="shared" si="11"/>
        <v>7.1634963748895605E-3</v>
      </c>
      <c r="S29" s="4">
        <f t="shared" si="25"/>
        <v>0.12982459851278674</v>
      </c>
      <c r="T29" s="2">
        <f t="shared" si="26"/>
        <v>138.23739954447123</v>
      </c>
      <c r="U29" s="6">
        <f t="shared" si="12"/>
        <v>3.1283149863466794E-2</v>
      </c>
      <c r="V29" s="4">
        <f t="shared" si="13"/>
        <v>0.20678301807560673</v>
      </c>
      <c r="W29" s="4">
        <f t="shared" si="14"/>
        <v>0.73257103981442706</v>
      </c>
      <c r="X29" s="3">
        <f t="shared" si="15"/>
        <v>3.7176708686371223</v>
      </c>
      <c r="Y29" s="8">
        <f t="shared" si="31"/>
        <v>1.6741067787728823</v>
      </c>
      <c r="Z29" s="3">
        <f t="shared" si="32"/>
        <v>3.319404040001726</v>
      </c>
      <c r="AA29" s="3">
        <f t="shared" si="18"/>
        <v>123.83687405211924</v>
      </c>
      <c r="AB29" s="3"/>
      <c r="AC29" s="3"/>
      <c r="AD29" s="3"/>
    </row>
    <row r="30" spans="1:30" hidden="1">
      <c r="A30" s="7">
        <f t="shared" si="34"/>
        <v>490</v>
      </c>
      <c r="B30" s="3">
        <f t="shared" si="34"/>
        <v>-50.575200000000002</v>
      </c>
      <c r="D30" s="1">
        <f t="shared" si="33"/>
        <v>24</v>
      </c>
      <c r="E30" s="2">
        <f t="shared" si="35"/>
        <v>10</v>
      </c>
      <c r="F30" s="2">
        <f t="shared" si="35"/>
        <v>2.1206999999999998</v>
      </c>
      <c r="G30" s="2">
        <f t="shared" si="4"/>
        <v>1.4995613508623111</v>
      </c>
      <c r="H30" s="2">
        <f t="shared" si="27"/>
        <v>-20.833333333333336</v>
      </c>
      <c r="I30" s="2">
        <f t="shared" si="22"/>
        <v>5</v>
      </c>
      <c r="J30" s="20">
        <f t="shared" si="23"/>
        <v>29.741866666666667</v>
      </c>
      <c r="K30" s="2">
        <f t="shared" si="28"/>
        <v>5</v>
      </c>
      <c r="L30" s="2">
        <f t="shared" si="24"/>
        <v>30.159221356291308</v>
      </c>
      <c r="M30" s="2">
        <f t="shared" si="29"/>
        <v>0.16811318724670946</v>
      </c>
      <c r="N30" s="2">
        <f t="shared" si="30"/>
        <v>9.5429427806394518</v>
      </c>
      <c r="P30" s="4">
        <f t="shared" si="9"/>
        <v>0.20262089473608735</v>
      </c>
      <c r="Q30" s="4">
        <f t="shared" si="10"/>
        <v>0.36051899999999998</v>
      </c>
      <c r="R30" s="4">
        <f t="shared" si="11"/>
        <v>1.1953856359252278E-2</v>
      </c>
      <c r="S30" s="4">
        <f t="shared" si="25"/>
        <v>0.12982459851278674</v>
      </c>
      <c r="T30" s="2">
        <f t="shared" si="26"/>
        <v>138.23739954447123</v>
      </c>
      <c r="U30" s="6">
        <f t="shared" si="12"/>
        <v>2.8323802508880301E-2</v>
      </c>
      <c r="V30" s="4">
        <f t="shared" si="13"/>
        <v>0.1397871751863099</v>
      </c>
      <c r="W30" s="4">
        <f t="shared" si="14"/>
        <v>0.65817343585702026</v>
      </c>
      <c r="X30" s="3">
        <f t="shared" si="15"/>
        <v>2.9996330407465863</v>
      </c>
      <c r="Y30" s="8">
        <f t="shared" si="31"/>
        <v>0.49729948351615072</v>
      </c>
      <c r="Z30" s="3">
        <f t="shared" si="32"/>
        <v>2.9581229864279108</v>
      </c>
      <c r="AA30" s="3">
        <f t="shared" si="18"/>
        <v>90.466596863521488</v>
      </c>
      <c r="AB30" s="3"/>
      <c r="AC30" s="3"/>
      <c r="AD30" s="3"/>
    </row>
    <row r="31" spans="1:30" hidden="1">
      <c r="A31" s="7"/>
      <c r="B31" s="3"/>
      <c r="D31" s="1"/>
      <c r="E31" s="2"/>
      <c r="F31" s="2"/>
      <c r="G31" s="2"/>
      <c r="H31" s="2"/>
      <c r="I31" s="2"/>
      <c r="J31" s="20"/>
      <c r="K31" s="2"/>
      <c r="L31" s="2"/>
      <c r="M31" s="2"/>
      <c r="N31" s="2"/>
      <c r="P31" s="4"/>
      <c r="Q31" s="4"/>
      <c r="R31" s="4"/>
      <c r="S31" s="4"/>
      <c r="T31" s="2"/>
      <c r="U31" s="6"/>
      <c r="V31" s="4"/>
      <c r="W31" s="4"/>
      <c r="X31" s="3"/>
      <c r="Y31" s="8"/>
      <c r="Z31" s="3"/>
      <c r="AA31" s="3"/>
      <c r="AB31" s="3"/>
      <c r="AC31" s="3"/>
      <c r="AD31" s="3"/>
    </row>
    <row r="32" spans="1:30" hidden="1">
      <c r="A32" s="7"/>
      <c r="B32" s="3"/>
      <c r="D32" s="1"/>
      <c r="E32" s="2"/>
      <c r="F32" s="2"/>
      <c r="G32" s="2"/>
      <c r="H32" s="2"/>
      <c r="I32" s="2"/>
      <c r="J32" s="20"/>
      <c r="K32" s="2"/>
      <c r="L32" s="2"/>
      <c r="M32" s="2"/>
      <c r="N32" s="2"/>
      <c r="P32" s="4"/>
      <c r="Q32" s="4"/>
      <c r="R32" s="4"/>
      <c r="S32" s="4"/>
      <c r="T32" s="2"/>
      <c r="U32" s="6"/>
      <c r="V32" s="4"/>
      <c r="W32" s="4"/>
      <c r="X32" s="3"/>
      <c r="Y32" s="8"/>
      <c r="Z32" s="3"/>
      <c r="AA32" s="3"/>
      <c r="AB32" s="3"/>
      <c r="AC32" s="3"/>
      <c r="AD32" s="3"/>
    </row>
    <row r="33" spans="1:30" hidden="1">
      <c r="A33" s="7"/>
      <c r="B33" s="3"/>
      <c r="D33" s="1"/>
      <c r="E33" s="2"/>
      <c r="F33" s="2"/>
      <c r="G33" s="2"/>
      <c r="H33" s="2"/>
      <c r="I33" s="2"/>
      <c r="J33" s="20"/>
      <c r="K33" s="2"/>
      <c r="L33" s="2"/>
      <c r="M33" s="2"/>
      <c r="N33" s="2"/>
      <c r="P33" s="4"/>
      <c r="Q33" s="4"/>
      <c r="R33" s="4"/>
      <c r="S33" s="4"/>
      <c r="T33" s="2"/>
      <c r="U33" s="6"/>
      <c r="V33" s="4"/>
      <c r="W33" s="4"/>
      <c r="X33" s="3"/>
      <c r="Y33" s="8"/>
      <c r="Z33" s="3"/>
      <c r="AA33" s="3"/>
      <c r="AB33" s="3"/>
      <c r="AC33" s="3"/>
      <c r="AD33" s="3"/>
    </row>
    <row r="34" spans="1:30" hidden="1">
      <c r="A34" s="7"/>
      <c r="B34" s="3"/>
      <c r="D34" s="1"/>
      <c r="E34" s="2"/>
      <c r="F34" s="2"/>
      <c r="G34" s="2"/>
      <c r="H34" s="2"/>
      <c r="I34" s="2"/>
      <c r="J34" s="20"/>
      <c r="K34" s="2"/>
      <c r="L34" s="2"/>
      <c r="M34" s="2"/>
      <c r="N34" s="2"/>
      <c r="P34" s="4"/>
      <c r="Q34" s="4"/>
      <c r="R34" s="4"/>
      <c r="S34" s="4"/>
      <c r="T34" s="2"/>
      <c r="U34" s="6"/>
      <c r="V34" s="4"/>
      <c r="W34" s="4"/>
      <c r="X34" s="3"/>
      <c r="Y34" s="8"/>
      <c r="Z34" s="3"/>
      <c r="AA34" s="3"/>
      <c r="AB34" s="3"/>
      <c r="AC34" s="3"/>
      <c r="AD34" s="3"/>
    </row>
    <row r="35" spans="1:30" hidden="1">
      <c r="A35" s="7"/>
      <c r="B35" s="3"/>
      <c r="D35" s="1"/>
      <c r="E35" s="2"/>
      <c r="F35" s="2"/>
      <c r="G35" s="2"/>
      <c r="H35" s="2"/>
      <c r="I35" s="2"/>
      <c r="J35" s="20"/>
      <c r="K35" s="2"/>
      <c r="L35" s="2"/>
      <c r="M35" s="2"/>
      <c r="N35" s="2"/>
      <c r="P35" s="4"/>
      <c r="Q35" s="4"/>
      <c r="R35" s="4"/>
      <c r="S35" s="4"/>
      <c r="T35" s="2"/>
      <c r="U35" s="6"/>
      <c r="V35" s="4"/>
      <c r="W35" s="4"/>
      <c r="X35" s="3"/>
      <c r="Y35" s="8"/>
      <c r="Z35" s="3"/>
      <c r="AA35" s="3"/>
      <c r="AB35" s="3"/>
      <c r="AC35" s="3"/>
      <c r="AD35" s="3"/>
    </row>
    <row r="36" spans="1:30" hidden="1">
      <c r="A36" s="7"/>
      <c r="B36" s="3"/>
      <c r="D36" s="1"/>
      <c r="E36" s="2"/>
      <c r="F36" s="2"/>
      <c r="G36" s="2"/>
      <c r="H36" s="2"/>
      <c r="I36" s="2"/>
      <c r="J36" s="20"/>
      <c r="K36" s="2"/>
      <c r="L36" s="2"/>
      <c r="M36" s="2"/>
      <c r="N36" s="2"/>
      <c r="P36" s="4"/>
      <c r="Q36" s="4"/>
      <c r="R36" s="4"/>
      <c r="S36" s="4"/>
      <c r="T36" s="2"/>
      <c r="U36" s="6"/>
      <c r="V36" s="4"/>
      <c r="W36" s="4"/>
      <c r="X36" s="3"/>
      <c r="Y36" s="8"/>
      <c r="Z36" s="3"/>
      <c r="AA36" s="3"/>
      <c r="AB36" s="3"/>
      <c r="AC36" s="3"/>
      <c r="AD36" s="3"/>
    </row>
    <row r="37" spans="1:30" hidden="1">
      <c r="A37" s="7"/>
      <c r="B37" s="3"/>
      <c r="D37" s="1"/>
      <c r="E37" s="2"/>
      <c r="F37" s="2"/>
      <c r="G37" s="2"/>
      <c r="H37" s="2"/>
      <c r="I37" s="2"/>
      <c r="J37" s="20"/>
      <c r="K37" s="2"/>
      <c r="L37" s="2"/>
      <c r="M37" s="2"/>
      <c r="N37" s="2"/>
      <c r="P37" s="4"/>
      <c r="Q37" s="4"/>
      <c r="R37" s="4"/>
      <c r="S37" s="4"/>
      <c r="T37" s="2"/>
      <c r="U37" s="6"/>
      <c r="V37" s="4"/>
      <c r="W37" s="4"/>
      <c r="X37" s="3"/>
      <c r="Y37" s="8"/>
      <c r="Z37" s="3"/>
      <c r="AA37" s="3"/>
      <c r="AB37" s="3"/>
      <c r="AC37" s="3"/>
      <c r="AD37" s="3"/>
    </row>
    <row r="38" spans="1:30" hidden="1">
      <c r="A38" s="7"/>
      <c r="B38" s="3"/>
      <c r="D38" s="1"/>
      <c r="E38" s="2"/>
      <c r="F38" s="2"/>
      <c r="G38" s="2"/>
      <c r="H38" s="2"/>
      <c r="I38" s="2"/>
      <c r="J38" s="20"/>
      <c r="K38" s="2"/>
      <c r="L38" s="2"/>
      <c r="M38" s="2"/>
      <c r="N38" s="2"/>
      <c r="P38" s="4"/>
      <c r="Q38" s="4"/>
      <c r="R38" s="4"/>
      <c r="S38" s="4"/>
      <c r="T38" s="2"/>
      <c r="U38" s="6"/>
      <c r="V38" s="4"/>
      <c r="W38" s="4"/>
      <c r="X38" s="3"/>
      <c r="Y38" s="8"/>
      <c r="Z38" s="3"/>
      <c r="AA38" s="3"/>
      <c r="AB38" s="3"/>
      <c r="AC38" s="3"/>
      <c r="AD38" s="3"/>
    </row>
    <row r="39" spans="1:30" hidden="1">
      <c r="A39" s="7"/>
      <c r="B39" s="3"/>
      <c r="D39" s="1"/>
      <c r="E39" s="2"/>
      <c r="F39" s="2"/>
      <c r="G39" s="2"/>
      <c r="H39" s="2"/>
      <c r="I39" s="2"/>
      <c r="J39" s="20"/>
      <c r="K39" s="2"/>
      <c r="L39" s="2"/>
      <c r="M39" s="2"/>
      <c r="N39" s="2"/>
      <c r="P39" s="4"/>
      <c r="Q39" s="4"/>
      <c r="R39" s="4"/>
      <c r="S39" s="4"/>
      <c r="T39" s="2"/>
      <c r="U39" s="6"/>
      <c r="V39" s="4"/>
      <c r="W39" s="4"/>
      <c r="X39" s="3"/>
      <c r="Y39" s="8"/>
      <c r="Z39" s="3"/>
      <c r="AA39" s="3"/>
      <c r="AB39" s="3"/>
      <c r="AC39" s="3"/>
      <c r="AD39" s="3"/>
    </row>
    <row r="40" spans="1:30" hidden="1">
      <c r="A40" s="7"/>
      <c r="B40" s="3"/>
      <c r="D40" s="1"/>
      <c r="E40" s="2"/>
      <c r="F40" s="2"/>
      <c r="G40" s="2"/>
      <c r="H40" s="2"/>
      <c r="I40" s="2"/>
      <c r="J40" s="20"/>
      <c r="K40" s="2"/>
      <c r="L40" s="2"/>
      <c r="M40" s="2"/>
      <c r="N40" s="2"/>
      <c r="P40" s="4"/>
      <c r="Q40" s="4"/>
      <c r="R40" s="4"/>
      <c r="S40" s="4"/>
      <c r="T40" s="2"/>
      <c r="U40" s="6"/>
      <c r="V40" s="4"/>
      <c r="W40" s="4"/>
      <c r="X40" s="3"/>
      <c r="Y40" s="8"/>
      <c r="Z40" s="3"/>
      <c r="AA40" s="3"/>
      <c r="AB40" s="3"/>
      <c r="AC40" s="3"/>
      <c r="AD40" s="3"/>
    </row>
    <row r="41" spans="1:30" hidden="1">
      <c r="A41" s="7"/>
      <c r="B41" s="3"/>
      <c r="D41" s="1"/>
      <c r="E41" s="2"/>
      <c r="F41" s="2"/>
      <c r="G41" s="2"/>
      <c r="H41" s="2"/>
      <c r="I41" s="2"/>
      <c r="J41" s="20"/>
      <c r="K41" s="2"/>
      <c r="L41" s="2"/>
      <c r="M41" s="2"/>
      <c r="N41" s="2"/>
      <c r="P41" s="4"/>
      <c r="Q41" s="4"/>
      <c r="R41" s="4"/>
      <c r="S41" s="4"/>
      <c r="T41" s="2"/>
      <c r="U41" s="6"/>
      <c r="V41" s="4"/>
      <c r="W41" s="4"/>
      <c r="X41" s="3"/>
      <c r="Y41" s="8"/>
      <c r="Z41" s="3"/>
      <c r="AA41" s="3"/>
      <c r="AB41" s="3"/>
      <c r="AC41" s="3"/>
      <c r="AD41" s="3"/>
    </row>
    <row r="42" spans="1:30" hidden="1">
      <c r="A42" s="7"/>
      <c r="B42" s="3"/>
      <c r="D42" s="1"/>
      <c r="E42" s="2"/>
      <c r="F42" s="2"/>
      <c r="G42" s="2"/>
      <c r="H42" s="2"/>
      <c r="I42" s="2"/>
      <c r="J42" s="20"/>
      <c r="K42" s="2"/>
      <c r="L42" s="2"/>
      <c r="M42" s="2"/>
      <c r="N42" s="2"/>
      <c r="P42" s="4"/>
      <c r="Q42" s="4"/>
      <c r="R42" s="4"/>
      <c r="S42" s="4"/>
      <c r="T42" s="2"/>
      <c r="U42" s="6"/>
      <c r="V42" s="4"/>
      <c r="W42" s="4"/>
      <c r="X42" s="3"/>
      <c r="Y42" s="8"/>
      <c r="Z42" s="3"/>
      <c r="AA42" s="3"/>
      <c r="AB42" s="3"/>
      <c r="AC42" s="3"/>
      <c r="AD42" s="3"/>
    </row>
    <row r="43" spans="1:30" hidden="1">
      <c r="A43" s="7"/>
      <c r="B43" s="3"/>
      <c r="D43" s="1"/>
      <c r="E43" s="2"/>
      <c r="F43" s="2"/>
      <c r="G43" s="2"/>
      <c r="H43" s="2"/>
      <c r="I43" s="2"/>
      <c r="J43" s="20"/>
      <c r="K43" s="2"/>
      <c r="L43" s="2"/>
      <c r="M43" s="2"/>
      <c r="N43" s="2"/>
      <c r="P43" s="4"/>
      <c r="Q43" s="4"/>
      <c r="R43" s="4"/>
      <c r="S43" s="4"/>
      <c r="T43" s="2"/>
      <c r="U43" s="6"/>
      <c r="V43" s="4"/>
      <c r="W43" s="4"/>
      <c r="X43" s="3"/>
      <c r="Y43" s="8"/>
      <c r="Z43" s="3"/>
      <c r="AA43" s="3"/>
      <c r="AB43" s="3"/>
      <c r="AC43" s="3"/>
      <c r="AD43" s="3"/>
    </row>
    <row r="44" spans="1:30" hidden="1">
      <c r="A44" s="7"/>
      <c r="B44" s="3"/>
      <c r="D44" s="1"/>
      <c r="E44" s="2"/>
      <c r="F44" s="2"/>
      <c r="G44" s="2"/>
      <c r="H44" s="2"/>
      <c r="I44" s="2"/>
      <c r="J44" s="20"/>
      <c r="K44" s="2"/>
      <c r="L44" s="2"/>
      <c r="M44" s="2"/>
      <c r="N44" s="2"/>
      <c r="P44" s="4"/>
      <c r="Q44" s="4"/>
      <c r="R44" s="4"/>
      <c r="S44" s="4"/>
      <c r="T44" s="2"/>
      <c r="U44" s="6"/>
      <c r="V44" s="4"/>
      <c r="W44" s="4"/>
      <c r="X44" s="3"/>
      <c r="Y44" s="8"/>
      <c r="Z44" s="3"/>
      <c r="AA44" s="3"/>
      <c r="AB44" s="3"/>
      <c r="AC44" s="3"/>
      <c r="AD44" s="3"/>
    </row>
    <row r="45" spans="1:30" hidden="1">
      <c r="A45" s="7"/>
      <c r="B45" s="3"/>
      <c r="D45" s="1"/>
      <c r="E45" s="2"/>
      <c r="F45" s="2"/>
      <c r="G45" s="2"/>
      <c r="H45" s="2"/>
      <c r="I45" s="2"/>
      <c r="J45" s="20"/>
      <c r="K45" s="2"/>
      <c r="L45" s="2"/>
      <c r="M45" s="2"/>
      <c r="N45" s="2"/>
      <c r="P45" s="4"/>
      <c r="Q45" s="4"/>
      <c r="R45" s="4"/>
      <c r="S45" s="4"/>
      <c r="T45" s="2"/>
      <c r="U45" s="6"/>
      <c r="V45" s="4"/>
      <c r="W45" s="4"/>
      <c r="X45" s="3"/>
      <c r="Y45" s="8"/>
      <c r="Z45" s="3"/>
      <c r="AA45" s="3"/>
      <c r="AB45" s="3"/>
      <c r="AC45" s="3"/>
      <c r="AD45" s="3"/>
    </row>
    <row r="46" spans="1:30" hidden="1">
      <c r="A46" s="7"/>
      <c r="B46" s="3"/>
      <c r="D46" s="1"/>
      <c r="E46" s="2"/>
      <c r="F46" s="2"/>
      <c r="G46" s="2"/>
      <c r="H46" s="2"/>
      <c r="I46" s="2"/>
      <c r="J46" s="20"/>
      <c r="K46" s="2"/>
      <c r="L46" s="2"/>
      <c r="M46" s="2"/>
      <c r="N46" s="2"/>
      <c r="P46" s="4"/>
      <c r="Q46" s="4"/>
      <c r="R46" s="4"/>
      <c r="S46" s="4"/>
      <c r="T46" s="2"/>
      <c r="U46" s="6"/>
      <c r="V46" s="4"/>
      <c r="W46" s="4"/>
      <c r="X46" s="3"/>
      <c r="Y46" s="8"/>
      <c r="Z46" s="3"/>
      <c r="AA46" s="3"/>
      <c r="AB46" s="3"/>
      <c r="AC46" s="3"/>
      <c r="AD46" s="3"/>
    </row>
    <row r="47" spans="1:30" hidden="1">
      <c r="A47" s="7"/>
      <c r="B47" s="3"/>
      <c r="D47" s="1"/>
      <c r="E47" s="2"/>
      <c r="F47" s="2"/>
      <c r="G47" s="2"/>
      <c r="H47" s="2"/>
      <c r="I47" s="2"/>
      <c r="J47" s="20"/>
      <c r="K47" s="2"/>
      <c r="L47" s="2"/>
      <c r="M47" s="2"/>
      <c r="N47" s="2"/>
      <c r="P47" s="4"/>
      <c r="Q47" s="4"/>
      <c r="R47" s="4"/>
      <c r="S47" s="4"/>
      <c r="T47" s="2"/>
      <c r="U47" s="6"/>
      <c r="V47" s="4"/>
      <c r="W47" s="4"/>
      <c r="X47" s="3"/>
      <c r="Y47" s="8"/>
      <c r="Z47" s="3"/>
      <c r="AA47" s="3"/>
      <c r="AB47" s="3"/>
      <c r="AC47" s="3"/>
      <c r="AD47" s="3"/>
    </row>
    <row r="48" spans="1:30" hidden="1">
      <c r="A48" s="7"/>
      <c r="B48" s="3"/>
      <c r="D48" s="1"/>
      <c r="E48" s="2"/>
      <c r="F48" s="2"/>
      <c r="G48" s="2"/>
      <c r="H48" s="2"/>
      <c r="I48" s="2"/>
      <c r="J48" s="20"/>
      <c r="K48" s="2"/>
      <c r="L48" s="2"/>
      <c r="M48" s="2"/>
      <c r="N48" s="2"/>
      <c r="P48" s="4"/>
      <c r="Q48" s="4"/>
      <c r="R48" s="4"/>
      <c r="S48" s="4"/>
      <c r="T48" s="2"/>
      <c r="U48" s="6"/>
      <c r="V48" s="4"/>
      <c r="W48" s="4"/>
      <c r="X48" s="3"/>
      <c r="Y48" s="8"/>
      <c r="Z48" s="3"/>
      <c r="AA48" s="3"/>
      <c r="AB48" s="3"/>
      <c r="AC48" s="3"/>
      <c r="AD48" s="3"/>
    </row>
    <row r="49" spans="1:31" hidden="1">
      <c r="A49" s="7"/>
      <c r="B49" s="3"/>
      <c r="D49" s="1"/>
      <c r="E49" s="2"/>
      <c r="F49" s="2"/>
      <c r="G49" s="2"/>
      <c r="H49" s="2"/>
      <c r="I49" s="2"/>
      <c r="J49" s="20"/>
      <c r="K49" s="2"/>
      <c r="L49" s="2"/>
      <c r="M49" s="2"/>
      <c r="N49" s="2"/>
      <c r="P49" s="4"/>
      <c r="Q49" s="4"/>
      <c r="R49" s="4"/>
      <c r="S49" s="4"/>
      <c r="T49" s="2"/>
      <c r="U49" s="6"/>
      <c r="V49" s="4"/>
      <c r="W49" s="4"/>
      <c r="X49" s="3"/>
      <c r="Y49" s="8"/>
      <c r="Z49" s="3"/>
      <c r="AA49" s="3"/>
      <c r="AB49" s="3"/>
      <c r="AC49" s="3"/>
      <c r="AD49" s="3"/>
    </row>
    <row r="50" spans="1:31">
      <c r="A50" s="7"/>
      <c r="B50" s="3"/>
      <c r="D50" s="1"/>
      <c r="E50" s="2"/>
      <c r="F50" s="2"/>
      <c r="G50" s="2"/>
      <c r="H50" s="2"/>
      <c r="I50" s="2"/>
      <c r="J50" s="20"/>
      <c r="K50" s="2"/>
      <c r="L50" s="2"/>
      <c r="M50" s="2"/>
      <c r="N50" s="2"/>
      <c r="P50" s="4"/>
      <c r="Q50" s="4"/>
      <c r="R50" s="4"/>
      <c r="S50" s="4"/>
      <c r="T50" s="2"/>
      <c r="U50" s="6"/>
      <c r="V50" s="4"/>
      <c r="W50" s="4"/>
      <c r="X50" s="3"/>
      <c r="Y50" s="8"/>
      <c r="Z50" s="3"/>
      <c r="AA50" s="3"/>
      <c r="AB50" s="3"/>
      <c r="AC50" s="3"/>
      <c r="AD50" s="3"/>
    </row>
    <row r="51" spans="1:31">
      <c r="A51" s="7"/>
      <c r="B51" s="3"/>
      <c r="D51" s="1"/>
      <c r="E51" s="2"/>
      <c r="F51" s="2"/>
      <c r="G51" s="2"/>
      <c r="H51" s="2"/>
      <c r="I51" s="2"/>
      <c r="J51" s="20"/>
      <c r="K51" s="2"/>
      <c r="L51" s="2"/>
      <c r="M51" s="2"/>
      <c r="N51" s="2"/>
      <c r="P51" s="4"/>
      <c r="Q51" s="4"/>
      <c r="R51" s="4"/>
      <c r="S51" s="4"/>
      <c r="T51" s="2"/>
      <c r="U51" s="6"/>
      <c r="V51" s="4"/>
      <c r="W51" s="4"/>
      <c r="X51" s="3"/>
      <c r="Y51" s="8"/>
      <c r="Z51" s="3"/>
      <c r="AA51" s="3"/>
      <c r="AB51" s="3"/>
      <c r="AC51" s="3"/>
      <c r="AD51" s="3"/>
    </row>
    <row r="52" spans="1:31">
      <c r="A52" s="7"/>
      <c r="B52" s="3"/>
      <c r="D52" s="1"/>
      <c r="E52" s="2"/>
      <c r="F52" s="2"/>
      <c r="G52" s="2"/>
      <c r="H52" s="2"/>
      <c r="I52" s="2"/>
      <c r="J52" s="20"/>
      <c r="K52" s="2"/>
      <c r="L52" s="2"/>
      <c r="M52" s="2"/>
      <c r="N52" s="2"/>
      <c r="P52" s="4"/>
      <c r="Q52" s="4"/>
      <c r="R52" s="4"/>
      <c r="S52" s="4"/>
      <c r="T52" s="2"/>
      <c r="U52" s="6"/>
      <c r="V52" s="4"/>
      <c r="W52" s="4"/>
      <c r="X52" s="3"/>
      <c r="Y52" s="8"/>
      <c r="Z52" s="3"/>
      <c r="AA52" s="3"/>
      <c r="AB52" s="3"/>
      <c r="AC52" s="3"/>
      <c r="AD52" s="3"/>
    </row>
    <row r="53" spans="1:31">
      <c r="A53" s="7"/>
      <c r="B53" s="3"/>
      <c r="D53" s="1"/>
      <c r="E53" s="2"/>
      <c r="F53" s="2"/>
      <c r="G53" s="2"/>
      <c r="H53" s="2"/>
      <c r="I53" s="2"/>
      <c r="J53" s="20"/>
      <c r="K53" s="2"/>
      <c r="L53" s="2"/>
      <c r="M53" s="2"/>
      <c r="N53" s="2"/>
      <c r="P53" s="4"/>
      <c r="Q53" s="4"/>
      <c r="R53" s="4"/>
      <c r="S53" s="4"/>
      <c r="T53" s="2"/>
      <c r="U53" s="6"/>
      <c r="V53" s="4"/>
      <c r="W53" s="4"/>
      <c r="X53" s="3"/>
      <c r="Y53" s="8"/>
      <c r="Z53" s="3"/>
      <c r="AA53" s="3"/>
      <c r="AB53" s="3"/>
      <c r="AC53" s="3"/>
      <c r="AD53" s="3"/>
    </row>
    <row r="54" spans="1:31">
      <c r="A54" s="7"/>
      <c r="B54" s="3"/>
      <c r="D54" s="1"/>
      <c r="E54" s="2"/>
      <c r="F54" s="2"/>
      <c r="G54" s="2"/>
      <c r="H54" s="2"/>
      <c r="I54" s="2"/>
      <c r="J54" s="20"/>
      <c r="K54" s="2"/>
      <c r="L54" s="2"/>
      <c r="M54" s="2"/>
      <c r="N54" s="2"/>
      <c r="P54" s="4"/>
      <c r="Q54" s="4"/>
      <c r="R54" s="4"/>
      <c r="S54" s="4"/>
      <c r="T54" s="2"/>
      <c r="U54" s="6"/>
      <c r="V54" s="4"/>
      <c r="W54" s="4"/>
      <c r="X54" s="3"/>
      <c r="Y54" s="8"/>
      <c r="Z54" s="3"/>
      <c r="AA54" s="3"/>
      <c r="AB54" s="3"/>
      <c r="AC54" s="3"/>
      <c r="AD54" s="3"/>
    </row>
    <row r="55" spans="1:31">
      <c r="A55" s="7"/>
      <c r="B55" s="3"/>
      <c r="D55" s="1"/>
      <c r="E55" s="2"/>
      <c r="F55" s="2"/>
      <c r="G55" s="2"/>
      <c r="H55" s="2"/>
      <c r="I55" s="2"/>
      <c r="J55" s="20"/>
      <c r="K55" s="2"/>
      <c r="L55" s="2"/>
      <c r="M55" s="2"/>
      <c r="N55" s="2"/>
      <c r="P55" s="4"/>
      <c r="Q55" s="4"/>
      <c r="R55" s="4"/>
      <c r="S55" s="4"/>
      <c r="T55" s="2"/>
      <c r="U55" s="6"/>
      <c r="V55" s="4"/>
      <c r="W55" s="4"/>
      <c r="X55" s="3"/>
      <c r="Y55" s="8"/>
      <c r="Z55" s="3"/>
      <c r="AA55" s="3"/>
      <c r="AB55" s="3"/>
      <c r="AC55" s="3"/>
      <c r="AD55" s="3"/>
    </row>
    <row r="56" spans="1:31">
      <c r="A56" s="7"/>
      <c r="B56" s="3"/>
      <c r="D56" s="1"/>
      <c r="E56" s="2"/>
      <c r="F56" s="2"/>
      <c r="G56" s="2"/>
      <c r="H56" s="2"/>
      <c r="I56" s="2"/>
      <c r="J56" s="20"/>
      <c r="K56" s="2"/>
      <c r="L56" s="2"/>
      <c r="M56" s="2"/>
      <c r="N56" s="2"/>
      <c r="P56" s="4"/>
      <c r="Q56" s="4"/>
      <c r="R56" s="4"/>
      <c r="S56" s="4"/>
      <c r="T56" s="2"/>
      <c r="U56" s="6"/>
      <c r="V56" s="4"/>
      <c r="W56" s="4"/>
      <c r="X56" s="3"/>
      <c r="Y56" s="8"/>
      <c r="Z56" s="3"/>
      <c r="AA56" s="3"/>
      <c r="AB56" s="3"/>
      <c r="AC56" s="3"/>
      <c r="AD56" s="3"/>
    </row>
    <row r="57" spans="1:31">
      <c r="A57" s="7"/>
      <c r="B57" s="3"/>
      <c r="D57" s="1"/>
      <c r="E57" s="2"/>
      <c r="F57" s="2"/>
      <c r="G57" s="2"/>
      <c r="H57" s="2"/>
      <c r="I57" s="2"/>
      <c r="J57" s="20"/>
      <c r="K57" s="2"/>
      <c r="L57" s="2"/>
      <c r="M57" s="2"/>
      <c r="N57" s="2"/>
      <c r="P57" s="4"/>
      <c r="Q57" s="4"/>
      <c r="R57" s="4"/>
      <c r="S57" s="4"/>
      <c r="T57" s="2"/>
      <c r="U57" s="6"/>
      <c r="V57" s="4"/>
      <c r="W57" s="4"/>
      <c r="X57" s="3"/>
      <c r="Y57" s="8"/>
      <c r="Z57" s="3"/>
      <c r="AA57" s="3"/>
      <c r="AB57" s="3"/>
      <c r="AC57" s="3"/>
      <c r="AD57" s="3"/>
    </row>
    <row r="58" spans="1:31">
      <c r="A58" s="7"/>
      <c r="B58" s="3"/>
      <c r="D58" s="1"/>
      <c r="E58" s="2"/>
      <c r="F58" s="2"/>
      <c r="G58" s="2"/>
      <c r="H58" s="2"/>
      <c r="I58" s="2"/>
      <c r="J58" s="20"/>
      <c r="K58" s="2"/>
      <c r="L58" s="2"/>
      <c r="M58" s="2"/>
      <c r="N58" s="2"/>
      <c r="P58" s="4"/>
      <c r="Q58" s="4"/>
      <c r="R58" s="4"/>
      <c r="S58" s="4"/>
      <c r="T58" s="2"/>
      <c r="U58" s="6"/>
      <c r="V58" s="4"/>
      <c r="W58" s="4"/>
      <c r="X58" s="3"/>
      <c r="Y58" s="8"/>
      <c r="Z58" s="3"/>
      <c r="AA58" s="3"/>
      <c r="AB58" s="3"/>
      <c r="AC58" s="3"/>
      <c r="AD58" s="3"/>
    </row>
    <row r="59" spans="1:31">
      <c r="A59" s="7"/>
      <c r="B59" s="3"/>
      <c r="D59" s="1"/>
      <c r="E59" s="2"/>
      <c r="F59" s="2"/>
      <c r="G59" s="2"/>
      <c r="H59" s="2"/>
      <c r="I59" s="2"/>
      <c r="J59" s="20"/>
      <c r="K59" s="2"/>
      <c r="L59" s="2"/>
      <c r="M59" s="2"/>
      <c r="N59" s="2"/>
      <c r="P59" s="4"/>
      <c r="Q59" s="4"/>
      <c r="R59" s="4"/>
      <c r="S59" s="4"/>
      <c r="T59" s="2"/>
      <c r="U59" s="6"/>
      <c r="V59" s="4"/>
      <c r="W59" s="4"/>
      <c r="X59" s="3"/>
      <c r="Y59" s="8"/>
      <c r="Z59" s="3"/>
      <c r="AA59" s="3"/>
      <c r="AB59" s="3"/>
      <c r="AC59" s="3"/>
      <c r="AD59" s="3"/>
    </row>
    <row r="60" spans="1:31"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X60" s="14" t="s">
        <v>26</v>
      </c>
      <c r="Y60" s="9">
        <f>ABS(SUM(Y3:Y59))</f>
        <v>110.44669438893226</v>
      </c>
      <c r="Z60" s="19">
        <f>SUM(Z3:Z59)</f>
        <v>58.272374330418984</v>
      </c>
      <c r="AA60" s="10">
        <f>SUM(AA3:AA59)</f>
        <v>14964.603906867009</v>
      </c>
      <c r="AB60" s="3"/>
      <c r="AC60" s="3"/>
      <c r="AD60" s="3"/>
      <c r="AE60" s="15"/>
    </row>
    <row r="61" spans="1:31" ht="23.25" customHeight="1"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R61" s="5"/>
      <c r="X61" s="14" t="s">
        <v>25</v>
      </c>
      <c r="Y61" s="3">
        <f>0.75*Y60</f>
        <v>82.835020791699193</v>
      </c>
      <c r="Z61" s="17">
        <f>0.75*Z60</f>
        <v>43.704280747814238</v>
      </c>
      <c r="AA61" s="18">
        <f>AA60/AB21</f>
        <v>58.272448858243607</v>
      </c>
      <c r="AB61" s="16" t="str">
        <f>IF(ABS(Z60-AA61)&lt;0.1,"balanced ro = "&amp;B3, "NG")</f>
        <v>balanced ro = -50.5752</v>
      </c>
      <c r="AC61" s="3"/>
    </row>
    <row r="62" spans="1:31"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31"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</row>
  </sheetData>
  <phoneticPr fontId="1" type="noConversion"/>
  <conditionalFormatting sqref="R3:R14 R17:R59">
    <cfRule type="cellIs" dxfId="296" priority="9" operator="equal">
      <formula>#REF!</formula>
    </cfRule>
  </conditionalFormatting>
  <conditionalFormatting sqref="R3:R14 R17:R59">
    <cfRule type="cellIs" dxfId="295" priority="6" operator="equal">
      <formula>MIN($R$3:$R$59)</formula>
    </cfRule>
    <cfRule type="cellIs" dxfId="294" priority="7" operator="equal">
      <formula>0.05292</formula>
    </cfRule>
    <cfRule type="cellIs" dxfId="293" priority="8" operator="equal">
      <formula>MIN($R$3:$R$59)</formula>
    </cfRule>
  </conditionalFormatting>
  <conditionalFormatting sqref="R3:R14 R17:R59">
    <cfRule type="cellIs" dxfId="292" priority="5" operator="equal">
      <formula>MIN($R$3:$R$59)</formula>
    </cfRule>
  </conditionalFormatting>
  <conditionalFormatting sqref="F3">
    <cfRule type="expression" dxfId="291" priority="2">
      <formula>ABS($Z$61-$AC$18)&lt;0.001</formula>
    </cfRule>
  </conditionalFormatting>
  <conditionalFormatting sqref="B3">
    <cfRule type="expression" dxfId="290" priority="1">
      <formula>ABS($Z$60-$AA$61)&lt;0.001</formula>
    </cfRule>
  </conditionalFormatting>
  <pageMargins left="0.7" right="0.7" top="0.75" bottom="0.75" header="0.3" footer="0.3"/>
  <pageSetup paperSize="9" orientation="portrait" r:id="rId1"/>
  <ignoredErrors>
    <ignoredError sqref="J4:J12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3"/>
  <sheetViews>
    <sheetView zoomScale="85" zoomScaleNormal="85" workbookViewId="0">
      <selection activeCell="R17" sqref="R17"/>
    </sheetView>
  </sheetViews>
  <sheetFormatPr defaultRowHeight="16.5"/>
  <cols>
    <col min="1" max="2" width="9" customWidth="1"/>
    <col min="3" max="3" width="2.375" customWidth="1"/>
    <col min="8" max="8" width="8.875" hidden="1" customWidth="1"/>
    <col min="9" max="9" width="0" hidden="1" customWidth="1"/>
    <col min="10" max="10" width="8.875" customWidth="1"/>
    <col min="15" max="15" width="2.375" customWidth="1"/>
    <col min="16" max="17" width="9.375" bestFit="1" customWidth="1"/>
    <col min="18" max="18" width="10.375" bestFit="1" customWidth="1"/>
    <col min="19" max="20" width="9.375" customWidth="1"/>
    <col min="21" max="23" width="9.375" bestFit="1" customWidth="1"/>
    <col min="24" max="26" width="10.25" customWidth="1"/>
    <col min="27" max="27" width="15" customWidth="1"/>
    <col min="28" max="28" width="10.25" customWidth="1"/>
    <col min="29" max="29" width="13.75" customWidth="1"/>
    <col min="30" max="30" width="13.625" customWidth="1"/>
    <col min="31" max="31" width="13.375" bestFit="1" customWidth="1"/>
  </cols>
  <sheetData>
    <row r="1" spans="1:30" ht="22.5" customHeight="1">
      <c r="A1" s="11" t="s">
        <v>28</v>
      </c>
      <c r="B1" s="11" t="s">
        <v>37</v>
      </c>
      <c r="C1" s="12"/>
      <c r="D1" s="13" t="s">
        <v>1</v>
      </c>
      <c r="E1" s="11" t="s">
        <v>21</v>
      </c>
      <c r="F1" s="13" t="s">
        <v>2</v>
      </c>
      <c r="G1" s="13" t="s">
        <v>3</v>
      </c>
      <c r="H1" s="13" t="s">
        <v>38</v>
      </c>
      <c r="I1" s="13" t="s">
        <v>39</v>
      </c>
      <c r="J1" s="11" t="s">
        <v>42</v>
      </c>
      <c r="K1" s="11" t="s">
        <v>43</v>
      </c>
      <c r="L1" s="11" t="s">
        <v>165</v>
      </c>
      <c r="M1" s="13" t="s">
        <v>19</v>
      </c>
      <c r="N1" s="13" t="s">
        <v>20</v>
      </c>
      <c r="O1" s="12"/>
      <c r="P1" s="14" t="s">
        <v>6</v>
      </c>
      <c r="Q1" s="14" t="s">
        <v>7</v>
      </c>
      <c r="R1" s="14" t="s">
        <v>8</v>
      </c>
      <c r="S1" s="14" t="s">
        <v>22</v>
      </c>
      <c r="T1" s="14" t="s">
        <v>23</v>
      </c>
      <c r="U1" s="14" t="s">
        <v>9</v>
      </c>
      <c r="V1" s="14" t="s">
        <v>10</v>
      </c>
      <c r="W1" s="14" t="s">
        <v>12</v>
      </c>
      <c r="X1" s="14" t="s">
        <v>13</v>
      </c>
      <c r="Y1" s="14" t="s">
        <v>14</v>
      </c>
      <c r="Z1" s="14" t="s">
        <v>15</v>
      </c>
      <c r="AA1" s="14" t="s">
        <v>16</v>
      </c>
      <c r="AB1" s="14" t="s">
        <v>40</v>
      </c>
      <c r="AC1" s="15"/>
    </row>
    <row r="2" spans="1:30" ht="22.5" customHeight="1">
      <c r="A2" s="11" t="s">
        <v>24</v>
      </c>
      <c r="B2" s="11" t="s">
        <v>4</v>
      </c>
      <c r="C2" s="12"/>
      <c r="D2" s="13" t="s">
        <v>0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44</v>
      </c>
      <c r="N2" s="13" t="s">
        <v>5</v>
      </c>
      <c r="O2" s="12"/>
      <c r="P2" s="13" t="s">
        <v>4</v>
      </c>
      <c r="Q2" s="13" t="s">
        <v>4</v>
      </c>
      <c r="R2" s="13"/>
      <c r="S2" s="13" t="s">
        <v>4</v>
      </c>
      <c r="T2" s="13" t="s">
        <v>4</v>
      </c>
      <c r="U2" s="13" t="s">
        <v>4</v>
      </c>
      <c r="V2" s="14" t="s">
        <v>11</v>
      </c>
      <c r="W2" s="13"/>
      <c r="X2" s="13" t="s">
        <v>18</v>
      </c>
      <c r="Y2" s="13" t="s">
        <v>18</v>
      </c>
      <c r="Z2" s="13" t="s">
        <v>18</v>
      </c>
      <c r="AA2" s="13" t="s">
        <v>17</v>
      </c>
      <c r="AB2" s="14" t="s">
        <v>4</v>
      </c>
      <c r="AC2" s="15"/>
    </row>
    <row r="3" spans="1:30">
      <c r="A3" s="7">
        <f>stiffener_C_shaped_weld!D30</f>
        <v>490</v>
      </c>
      <c r="B3" s="3">
        <v>-29.215</v>
      </c>
      <c r="D3" s="1">
        <v>1</v>
      </c>
      <c r="E3" s="2">
        <v>10</v>
      </c>
      <c r="F3" s="20">
        <v>6.3501000000000003</v>
      </c>
      <c r="G3" s="2">
        <f>F3/SQRT(2)</f>
        <v>4.490198771212695</v>
      </c>
      <c r="H3" s="20">
        <f t="shared" ref="H3:H12" si="0">(MAX($D$3:$D$14)-D3+0.5)*E3-$AB$3</f>
        <v>77.142857142857139</v>
      </c>
      <c r="I3" s="2">
        <f>(MAX(D17:D59)-MAX(D3:D14))*E17</f>
        <v>180</v>
      </c>
      <c r="J3" s="20">
        <f>H3-B3</f>
        <v>106.35785714285714</v>
      </c>
      <c r="K3" s="2">
        <f>I3</f>
        <v>180</v>
      </c>
      <c r="L3" s="2">
        <f>SQRT(J3^2+K3^2)</f>
        <v>209.07413464132861</v>
      </c>
      <c r="M3" s="2">
        <f>ABS(J3/K3)</f>
        <v>0.59087698412698408</v>
      </c>
      <c r="N3" s="2">
        <f>ATAN(M3)*180/PI()</f>
        <v>30.577863364457169</v>
      </c>
      <c r="P3" s="4">
        <f>0.209 * (N3+2)^-0.32 * F3</f>
        <v>0.43530295912532474</v>
      </c>
      <c r="Q3" s="4">
        <f>MIN(1.087*(N3+6)^-0.65 * F3, 0.17*F3)</f>
        <v>0.6651478505355749</v>
      </c>
      <c r="R3" s="4">
        <f>Q3/L3</f>
        <v>3.1813971234493019E-3</v>
      </c>
      <c r="S3" s="4">
        <f t="shared" ref="S3:S12" si="1">INDEX($Q$3:$Q$59, MATCH(MIN($R$3:$R$59),$R$3:$R$59,0))</f>
        <v>0.36447689583879661</v>
      </c>
      <c r="T3" s="2">
        <f t="shared" ref="T3:T12" si="2">INDEX($L$3:$L$59, MATCH(MIN($R$3:$R$59),$R$3:$R$59,0))</f>
        <v>175.36818673544397</v>
      </c>
      <c r="U3" s="6">
        <f>S3*L3/T3</f>
        <v>0.4345297343423612</v>
      </c>
      <c r="V3" s="4">
        <f>U3/P3</f>
        <v>0.99822370887503908</v>
      </c>
      <c r="W3" s="4">
        <f>POWER(V3*(1.9-0.9*V3),0.3)</f>
        <v>0.99994585593941421</v>
      </c>
      <c r="X3" s="3">
        <f>0.6*A3*G3*E3*(1+0.5*SIN(N3*PI()/180)^1.5)*W3/1000</f>
        <v>15.595236774219844</v>
      </c>
      <c r="Y3" s="8">
        <f>X3*COS(N3*PI()/180)</f>
        <v>13.426541854042767</v>
      </c>
      <c r="Z3" s="3">
        <f>X3*SIN(N3*PI()/180)</f>
        <v>7.9334345579715162</v>
      </c>
      <c r="AA3" s="3">
        <f>L3*X3</f>
        <v>3260.5606330966389</v>
      </c>
      <c r="AB3" s="3">
        <f>(MAX(D3:D14)*E3*G3*MAX(D3:D14)*E3/2)/(MAX(D3:D14)*E3*G3+I3*G3)</f>
        <v>17.857142857142854</v>
      </c>
      <c r="AC3" s="3"/>
      <c r="AD3" s="15"/>
    </row>
    <row r="4" spans="1:30">
      <c r="A4" s="7">
        <f t="shared" ref="A4:A12" si="3">A3</f>
        <v>490</v>
      </c>
      <c r="B4" s="3">
        <f t="shared" ref="B4:B12" si="4">B3</f>
        <v>-29.215</v>
      </c>
      <c r="D4" s="1">
        <f>D3+1</f>
        <v>2</v>
      </c>
      <c r="E4" s="2">
        <f>E3</f>
        <v>10</v>
      </c>
      <c r="F4" s="2">
        <f>F3</f>
        <v>6.3501000000000003</v>
      </c>
      <c r="G4" s="2">
        <f t="shared" ref="G4:G31" si="5">F4/SQRT(2)</f>
        <v>4.490198771212695</v>
      </c>
      <c r="H4" s="20">
        <f t="shared" si="0"/>
        <v>67.142857142857139</v>
      </c>
      <c r="I4" s="2">
        <f>I3</f>
        <v>180</v>
      </c>
      <c r="J4" s="20">
        <f t="shared" ref="J4:J12" si="6">H4-B4</f>
        <v>96.357857142857142</v>
      </c>
      <c r="K4" s="2">
        <f>K3</f>
        <v>180</v>
      </c>
      <c r="L4" s="2">
        <f t="shared" ref="L4:L12" si="7">SQRT(J4^2+K4^2)</f>
        <v>204.16864752738914</v>
      </c>
      <c r="M4" s="2">
        <f t="shared" ref="M4:M12" si="8">ABS(J4/K4)</f>
        <v>0.53532142857142861</v>
      </c>
      <c r="N4" s="2">
        <f t="shared" ref="N4:N12" si="9">ATAN(M4)*180/PI()</f>
        <v>28.161097557121753</v>
      </c>
      <c r="P4" s="4">
        <f t="shared" ref="P4:P31" si="10">0.209 * (N4+2)^-0.32 * F4</f>
        <v>0.44617349294546532</v>
      </c>
      <c r="Q4" s="4">
        <f t="shared" ref="Q4:Q31" si="11">MIN(1.087*(N4+6)^-0.65 * F4, 0.17*F4)</f>
        <v>0.69536756345272566</v>
      </c>
      <c r="R4" s="4">
        <f t="shared" ref="R4:R31" si="12">Q4/L4</f>
        <v>3.4058488992999886E-3</v>
      </c>
      <c r="S4" s="4">
        <f t="shared" si="1"/>
        <v>0.36447689583879661</v>
      </c>
      <c r="T4" s="2">
        <f t="shared" si="2"/>
        <v>175.36818673544397</v>
      </c>
      <c r="U4" s="6">
        <f t="shared" ref="U4:U31" si="13">S4*L4/T4</f>
        <v>0.42433440331254846</v>
      </c>
      <c r="V4" s="4">
        <f t="shared" ref="V4:V31" si="14">U4/P4</f>
        <v>0.95105247178907104</v>
      </c>
      <c r="W4" s="4">
        <f t="shared" ref="W4:W31" si="15">POWER(V4*(1.9-0.9*V4),0.3)</f>
        <v>0.99787945057244831</v>
      </c>
      <c r="X4" s="3">
        <f t="shared" ref="X4:X31" si="16">0.6*A4*G4*E4*(1+0.5*SIN(N4*PI()/180)^1.5)*W4/1000</f>
        <v>15.308732553094858</v>
      </c>
      <c r="Y4" s="8">
        <f t="shared" ref="Y4:Y12" si="17">X4*COS(N4*PI()/180)</f>
        <v>13.496547549923969</v>
      </c>
      <c r="Z4" s="3">
        <f t="shared" ref="Z4:Z12" si="18">X4*SIN(N4*PI()/180)</f>
        <v>7.224991115207513</v>
      </c>
      <c r="AA4" s="3">
        <f t="shared" ref="AA4:AA31" si="19">L4*X4</f>
        <v>3125.5632207238923</v>
      </c>
      <c r="AB4" s="3">
        <f>I3-(MAX(D3:D14)*E3*G3*G3/2+I3*G3*I3/2)/(MAX(D3:D14)*E3*G3+I3*G3)</f>
        <v>121.34103593371202</v>
      </c>
      <c r="AC4" s="3"/>
      <c r="AD4" s="15"/>
    </row>
    <row r="5" spans="1:30">
      <c r="A5" s="7">
        <f t="shared" si="3"/>
        <v>490</v>
      </c>
      <c r="B5" s="3">
        <f t="shared" si="4"/>
        <v>-29.215</v>
      </c>
      <c r="D5" s="1">
        <f t="shared" ref="D5:D12" si="20">D4+1</f>
        <v>3</v>
      </c>
      <c r="E5" s="2">
        <f t="shared" ref="E5:F20" si="21">E4</f>
        <v>10</v>
      </c>
      <c r="F5" s="2">
        <f t="shared" si="21"/>
        <v>6.3501000000000003</v>
      </c>
      <c r="G5" s="2">
        <f t="shared" si="5"/>
        <v>4.490198771212695</v>
      </c>
      <c r="H5" s="20">
        <f t="shared" si="0"/>
        <v>57.142857142857146</v>
      </c>
      <c r="I5" s="2">
        <f t="shared" ref="I5:K12" si="22">I4</f>
        <v>180</v>
      </c>
      <c r="J5" s="20">
        <f t="shared" si="6"/>
        <v>86.357857142857142</v>
      </c>
      <c r="K5" s="2">
        <f t="shared" si="22"/>
        <v>180</v>
      </c>
      <c r="L5" s="2">
        <f t="shared" si="7"/>
        <v>199.643881675112</v>
      </c>
      <c r="M5" s="2">
        <f t="shared" si="8"/>
        <v>0.47976587301587303</v>
      </c>
      <c r="N5" s="2">
        <f t="shared" si="9"/>
        <v>25.630102286229324</v>
      </c>
      <c r="P5" s="4">
        <f t="shared" si="10"/>
        <v>0.45886449273775365</v>
      </c>
      <c r="Q5" s="4">
        <f t="shared" si="11"/>
        <v>0.73104602662502882</v>
      </c>
      <c r="R5" s="4">
        <f t="shared" si="12"/>
        <v>3.6617502148885662E-3</v>
      </c>
      <c r="S5" s="4">
        <f t="shared" si="1"/>
        <v>0.36447689583879661</v>
      </c>
      <c r="T5" s="2">
        <f t="shared" si="2"/>
        <v>175.36818673544397</v>
      </c>
      <c r="U5" s="6">
        <f t="shared" si="13"/>
        <v>0.41493034523944278</v>
      </c>
      <c r="V5" s="4">
        <f t="shared" si="14"/>
        <v>0.90425463684020602</v>
      </c>
      <c r="W5" s="4">
        <f t="shared" si="15"/>
        <v>0.99461879919170337</v>
      </c>
      <c r="X5" s="3">
        <f t="shared" si="16"/>
        <v>14.997851428473759</v>
      </c>
      <c r="Y5" s="8">
        <f t="shared" si="17"/>
        <v>13.52214370144565</v>
      </c>
      <c r="Z5" s="3">
        <f t="shared" si="18"/>
        <v>6.4874630779701619</v>
      </c>
      <c r="AA5" s="3">
        <f t="shared" si="19"/>
        <v>2994.2292759671245</v>
      </c>
      <c r="AB5" s="3"/>
      <c r="AC5" s="3"/>
      <c r="AD5" s="15"/>
    </row>
    <row r="6" spans="1:30">
      <c r="A6" s="7">
        <f t="shared" si="3"/>
        <v>490</v>
      </c>
      <c r="B6" s="3">
        <f t="shared" si="4"/>
        <v>-29.215</v>
      </c>
      <c r="D6" s="1">
        <f t="shared" si="20"/>
        <v>4</v>
      </c>
      <c r="E6" s="2">
        <f t="shared" si="21"/>
        <v>10</v>
      </c>
      <c r="F6" s="2">
        <f t="shared" si="21"/>
        <v>6.3501000000000003</v>
      </c>
      <c r="G6" s="2">
        <f t="shared" si="5"/>
        <v>4.490198771212695</v>
      </c>
      <c r="H6" s="20">
        <f t="shared" si="0"/>
        <v>47.142857142857146</v>
      </c>
      <c r="I6" s="2">
        <f t="shared" si="22"/>
        <v>180</v>
      </c>
      <c r="J6" s="20">
        <f t="shared" si="6"/>
        <v>76.357857142857142</v>
      </c>
      <c r="K6" s="2">
        <f t="shared" si="22"/>
        <v>180</v>
      </c>
      <c r="L6" s="2">
        <f t="shared" si="7"/>
        <v>195.5262702233359</v>
      </c>
      <c r="M6" s="2">
        <f t="shared" si="8"/>
        <v>0.42421031746031745</v>
      </c>
      <c r="N6" s="2">
        <f t="shared" si="9"/>
        <v>22.987157791084567</v>
      </c>
      <c r="P6" s="4">
        <f t="shared" si="10"/>
        <v>0.47386808028670463</v>
      </c>
      <c r="Q6" s="4">
        <f t="shared" si="11"/>
        <v>0.77370685752884538</v>
      </c>
      <c r="R6" s="4">
        <f t="shared" si="12"/>
        <v>3.9570481073724489E-3</v>
      </c>
      <c r="S6" s="4">
        <f t="shared" si="1"/>
        <v>0.36447689583879661</v>
      </c>
      <c r="T6" s="2">
        <f t="shared" si="2"/>
        <v>175.36818673544397</v>
      </c>
      <c r="U6" s="6">
        <f t="shared" si="13"/>
        <v>0.40637249750120014</v>
      </c>
      <c r="V6" s="4">
        <f t="shared" si="14"/>
        <v>0.85756461430221764</v>
      </c>
      <c r="W6" s="4">
        <f t="shared" si="15"/>
        <v>0.99013620897833721</v>
      </c>
      <c r="X6" s="3">
        <f t="shared" si="16"/>
        <v>14.665934235599572</v>
      </c>
      <c r="Y6" s="8">
        <f t="shared" si="17"/>
        <v>13.501347718608793</v>
      </c>
      <c r="Z6" s="3">
        <f t="shared" si="18"/>
        <v>5.7274110018531692</v>
      </c>
      <c r="AA6" s="3">
        <f t="shared" si="19"/>
        <v>2867.5754204275149</v>
      </c>
      <c r="AB6" s="3"/>
      <c r="AC6" s="3"/>
      <c r="AD6" s="15"/>
    </row>
    <row r="7" spans="1:30">
      <c r="A7" s="7">
        <f t="shared" si="3"/>
        <v>490</v>
      </c>
      <c r="B7" s="3">
        <f t="shared" si="4"/>
        <v>-29.215</v>
      </c>
      <c r="D7" s="1">
        <f t="shared" si="20"/>
        <v>5</v>
      </c>
      <c r="E7" s="2">
        <f t="shared" si="21"/>
        <v>10</v>
      </c>
      <c r="F7" s="2">
        <f t="shared" si="21"/>
        <v>6.3501000000000003</v>
      </c>
      <c r="G7" s="2">
        <f t="shared" si="5"/>
        <v>4.490198771212695</v>
      </c>
      <c r="H7" s="20">
        <f t="shared" si="0"/>
        <v>37.142857142857146</v>
      </c>
      <c r="I7" s="2">
        <f t="shared" si="22"/>
        <v>180</v>
      </c>
      <c r="J7" s="20">
        <f t="shared" si="6"/>
        <v>66.357857142857142</v>
      </c>
      <c r="K7" s="2">
        <f t="shared" si="22"/>
        <v>180</v>
      </c>
      <c r="L7" s="2">
        <f t="shared" si="7"/>
        <v>191.84203190279192</v>
      </c>
      <c r="M7" s="2">
        <f t="shared" si="8"/>
        <v>0.36865476190476187</v>
      </c>
      <c r="N7" s="2">
        <f t="shared" si="9"/>
        <v>20.236648757583506</v>
      </c>
      <c r="P7" s="4">
        <f t="shared" si="10"/>
        <v>0.49188622783981911</v>
      </c>
      <c r="Q7" s="4">
        <f t="shared" si="11"/>
        <v>0.82550493485011067</v>
      </c>
      <c r="R7" s="4">
        <f t="shared" si="12"/>
        <v>4.3030452016292317E-3</v>
      </c>
      <c r="S7" s="4">
        <f t="shared" si="1"/>
        <v>0.36447689583879661</v>
      </c>
      <c r="T7" s="2">
        <f t="shared" si="2"/>
        <v>175.36818673544397</v>
      </c>
      <c r="U7" s="6">
        <f t="shared" si="13"/>
        <v>0.39871535186036644</v>
      </c>
      <c r="V7" s="4">
        <f t="shared" si="14"/>
        <v>0.81058449961361101</v>
      </c>
      <c r="W7" s="4">
        <f t="shared" si="15"/>
        <v>0.98434652894772967</v>
      </c>
      <c r="X7" s="3">
        <f t="shared" si="16"/>
        <v>14.316303657833386</v>
      </c>
      <c r="Y7" s="8">
        <f t="shared" si="17"/>
        <v>13.432586346436141</v>
      </c>
      <c r="Z7" s="3">
        <f t="shared" si="18"/>
        <v>4.9519869213105707</v>
      </c>
      <c r="AA7" s="3">
        <f t="shared" si="19"/>
        <v>2746.4687830561288</v>
      </c>
      <c r="AB7" s="3"/>
      <c r="AC7" s="3"/>
      <c r="AD7" s="15"/>
    </row>
    <row r="8" spans="1:30">
      <c r="A8" s="7">
        <f t="shared" si="3"/>
        <v>490</v>
      </c>
      <c r="B8" s="3">
        <f t="shared" si="4"/>
        <v>-29.215</v>
      </c>
      <c r="D8" s="1">
        <f t="shared" si="20"/>
        <v>6</v>
      </c>
      <c r="E8" s="2">
        <f t="shared" si="21"/>
        <v>10</v>
      </c>
      <c r="F8" s="2">
        <f t="shared" si="21"/>
        <v>6.3501000000000003</v>
      </c>
      <c r="G8" s="2">
        <f t="shared" si="5"/>
        <v>4.490198771212695</v>
      </c>
      <c r="H8" s="20">
        <f t="shared" si="0"/>
        <v>27.142857142857146</v>
      </c>
      <c r="I8" s="2">
        <f t="shared" si="22"/>
        <v>180</v>
      </c>
      <c r="J8" s="20">
        <f t="shared" si="6"/>
        <v>56.357857142857142</v>
      </c>
      <c r="K8" s="2">
        <f t="shared" si="22"/>
        <v>180</v>
      </c>
      <c r="L8" s="2">
        <f t="shared" si="7"/>
        <v>188.61656359327168</v>
      </c>
      <c r="M8" s="2">
        <f t="shared" si="8"/>
        <v>0.31309920634920635</v>
      </c>
      <c r="N8" s="2">
        <f t="shared" si="9"/>
        <v>17.385296845274482</v>
      </c>
      <c r="P8" s="4">
        <f t="shared" si="10"/>
        <v>0.51396750820563331</v>
      </c>
      <c r="Q8" s="4">
        <f t="shared" si="11"/>
        <v>0.88960503446755634</v>
      </c>
      <c r="R8" s="4">
        <f t="shared" si="12"/>
        <v>4.7164735562984792E-3</v>
      </c>
      <c r="S8" s="4">
        <f t="shared" si="1"/>
        <v>0.36447689583879661</v>
      </c>
      <c r="T8" s="2">
        <f t="shared" si="2"/>
        <v>175.36818673544397</v>
      </c>
      <c r="U8" s="6">
        <f t="shared" si="13"/>
        <v>0.3920116919835962</v>
      </c>
      <c r="V8" s="4">
        <f t="shared" si="14"/>
        <v>0.76271687553205447</v>
      </c>
      <c r="W8" s="4">
        <f t="shared" si="15"/>
        <v>0.97707257996702235</v>
      </c>
      <c r="X8" s="3">
        <f t="shared" si="16"/>
        <v>13.951862845647705</v>
      </c>
      <c r="Y8" s="8">
        <f t="shared" si="17"/>
        <v>13.314500404280356</v>
      </c>
      <c r="Z8" s="3">
        <f t="shared" si="18"/>
        <v>4.1687595095163656</v>
      </c>
      <c r="AA8" s="3">
        <f t="shared" si="19"/>
        <v>2631.5524256707149</v>
      </c>
      <c r="AB8" s="3"/>
      <c r="AC8" s="3"/>
      <c r="AD8" s="15"/>
    </row>
    <row r="9" spans="1:30">
      <c r="A9" s="7">
        <f t="shared" si="3"/>
        <v>490</v>
      </c>
      <c r="B9" s="3">
        <f t="shared" si="4"/>
        <v>-29.215</v>
      </c>
      <c r="D9" s="1">
        <f t="shared" si="20"/>
        <v>7</v>
      </c>
      <c r="E9" s="2">
        <f t="shared" si="21"/>
        <v>10</v>
      </c>
      <c r="F9" s="2">
        <f t="shared" si="21"/>
        <v>6.3501000000000003</v>
      </c>
      <c r="G9" s="2">
        <f t="shared" si="5"/>
        <v>4.490198771212695</v>
      </c>
      <c r="H9" s="20">
        <f t="shared" si="0"/>
        <v>17.142857142857146</v>
      </c>
      <c r="I9" s="2">
        <f t="shared" si="22"/>
        <v>180</v>
      </c>
      <c r="J9" s="20">
        <f t="shared" si="6"/>
        <v>46.357857142857142</v>
      </c>
      <c r="K9" s="2">
        <f t="shared" si="22"/>
        <v>180</v>
      </c>
      <c r="L9" s="2">
        <f t="shared" si="7"/>
        <v>185.87374994570254</v>
      </c>
      <c r="M9" s="2">
        <f t="shared" si="8"/>
        <v>0.25754365079365077</v>
      </c>
      <c r="N9" s="2">
        <f t="shared" si="9"/>
        <v>14.442310582153317</v>
      </c>
      <c r="P9" s="4">
        <f t="shared" si="10"/>
        <v>0.54177472386963521</v>
      </c>
      <c r="Q9" s="4">
        <f t="shared" si="11"/>
        <v>0.9708801460990184</v>
      </c>
      <c r="R9" s="4">
        <f t="shared" si="12"/>
        <v>5.2233311394569272E-3</v>
      </c>
      <c r="S9" s="4">
        <f t="shared" si="1"/>
        <v>0.36447689583879661</v>
      </c>
      <c r="T9" s="2">
        <f t="shared" si="2"/>
        <v>175.36818673544397</v>
      </c>
      <c r="U9" s="6">
        <f t="shared" si="13"/>
        <v>0.38631115859301951</v>
      </c>
      <c r="V9" s="4">
        <f t="shared" si="14"/>
        <v>0.71304758522838696</v>
      </c>
      <c r="W9" s="4">
        <f t="shared" si="15"/>
        <v>0.96797998739003255</v>
      </c>
      <c r="X9" s="3">
        <f t="shared" si="16"/>
        <v>13.574288312983342</v>
      </c>
      <c r="Y9" s="8">
        <f t="shared" si="17"/>
        <v>13.145330618501857</v>
      </c>
      <c r="Z9" s="3">
        <f t="shared" si="18"/>
        <v>3.385496438378528</v>
      </c>
      <c r="AA9" s="3">
        <f t="shared" si="19"/>
        <v>2523.1038715783379</v>
      </c>
      <c r="AB9" s="3"/>
      <c r="AC9" s="3"/>
      <c r="AD9" s="15"/>
    </row>
    <row r="10" spans="1:30">
      <c r="A10" s="7">
        <f t="shared" si="3"/>
        <v>490</v>
      </c>
      <c r="B10" s="3">
        <f t="shared" si="4"/>
        <v>-29.215</v>
      </c>
      <c r="D10" s="1">
        <f t="shared" si="20"/>
        <v>8</v>
      </c>
      <c r="E10" s="2">
        <f t="shared" si="21"/>
        <v>10</v>
      </c>
      <c r="F10" s="2">
        <f t="shared" si="21"/>
        <v>6.3501000000000003</v>
      </c>
      <c r="G10" s="2">
        <f t="shared" si="5"/>
        <v>4.490198771212695</v>
      </c>
      <c r="H10" s="20">
        <f t="shared" si="0"/>
        <v>7.1428571428571459</v>
      </c>
      <c r="I10" s="2">
        <f t="shared" si="22"/>
        <v>180</v>
      </c>
      <c r="J10" s="20">
        <f t="shared" si="6"/>
        <v>36.357857142857142</v>
      </c>
      <c r="K10" s="2">
        <f t="shared" si="22"/>
        <v>180</v>
      </c>
      <c r="L10" s="2">
        <f t="shared" si="7"/>
        <v>183.63521932358293</v>
      </c>
      <c r="M10" s="2">
        <f t="shared" si="8"/>
        <v>0.20198809523809524</v>
      </c>
      <c r="N10" s="2">
        <f t="shared" si="9"/>
        <v>11.419418814318927</v>
      </c>
      <c r="P10" s="4">
        <f t="shared" si="10"/>
        <v>0.57816535516545176</v>
      </c>
      <c r="Q10" s="4">
        <f t="shared" si="11"/>
        <v>1.0773038922940528</v>
      </c>
      <c r="R10" s="4">
        <f t="shared" si="12"/>
        <v>5.8665429009875257E-3</v>
      </c>
      <c r="S10" s="4">
        <f t="shared" si="1"/>
        <v>0.36447689583879661</v>
      </c>
      <c r="T10" s="2">
        <f t="shared" si="2"/>
        <v>175.36818673544397</v>
      </c>
      <c r="U10" s="6">
        <f t="shared" si="13"/>
        <v>0.38165870305032129</v>
      </c>
      <c r="V10" s="4">
        <f t="shared" si="14"/>
        <v>0.6601203265475899</v>
      </c>
      <c r="W10" s="4">
        <f t="shared" si="15"/>
        <v>0.95644297321180904</v>
      </c>
      <c r="X10" s="3">
        <f t="shared" si="16"/>
        <v>13.182347323283842</v>
      </c>
      <c r="Y10" s="8">
        <f t="shared" si="17"/>
        <v>12.92139126106278</v>
      </c>
      <c r="Z10" s="3">
        <f t="shared" si="18"/>
        <v>2.6099672086482402</v>
      </c>
      <c r="AA10" s="3">
        <f t="shared" si="19"/>
        <v>2420.743241910875</v>
      </c>
      <c r="AB10" s="3"/>
      <c r="AC10" s="3"/>
      <c r="AD10" s="15"/>
    </row>
    <row r="11" spans="1:30">
      <c r="A11" s="7">
        <f t="shared" si="3"/>
        <v>490</v>
      </c>
      <c r="B11" s="3">
        <f t="shared" si="4"/>
        <v>-29.215</v>
      </c>
      <c r="D11" s="1">
        <f t="shared" si="20"/>
        <v>9</v>
      </c>
      <c r="E11" s="2">
        <f t="shared" si="21"/>
        <v>10</v>
      </c>
      <c r="F11" s="2">
        <f t="shared" si="21"/>
        <v>6.3501000000000003</v>
      </c>
      <c r="G11" s="2">
        <f t="shared" si="5"/>
        <v>4.490198771212695</v>
      </c>
      <c r="H11" s="20">
        <f t="shared" si="0"/>
        <v>-2.8571428571428541</v>
      </c>
      <c r="I11" s="2">
        <f t="shared" si="22"/>
        <v>180</v>
      </c>
      <c r="J11" s="20">
        <f t="shared" si="6"/>
        <v>26.357857142857146</v>
      </c>
      <c r="K11" s="2">
        <f t="shared" si="22"/>
        <v>180</v>
      </c>
      <c r="L11" s="2">
        <f t="shared" si="7"/>
        <v>181.91958837124514</v>
      </c>
      <c r="M11" s="2">
        <f t="shared" si="8"/>
        <v>0.14643253968253969</v>
      </c>
      <c r="N11" s="2">
        <f t="shared" si="9"/>
        <v>8.3307591387470055</v>
      </c>
      <c r="P11" s="4">
        <f t="shared" si="10"/>
        <v>0.62864365293076629</v>
      </c>
      <c r="Q11" s="4">
        <f t="shared" si="11"/>
        <v>1.0795170000000001</v>
      </c>
      <c r="R11" s="4">
        <f t="shared" si="12"/>
        <v>5.9340338754341219E-3</v>
      </c>
      <c r="S11" s="4">
        <f t="shared" si="1"/>
        <v>0.36447689583879661</v>
      </c>
      <c r="T11" s="2">
        <f t="shared" si="2"/>
        <v>175.36818673544397</v>
      </c>
      <c r="U11" s="6">
        <f t="shared" si="13"/>
        <v>0.37809301730335992</v>
      </c>
      <c r="V11" s="4">
        <f t="shared" si="14"/>
        <v>0.6014425112552596</v>
      </c>
      <c r="W11" s="4">
        <f t="shared" si="15"/>
        <v>0.94122938211934126</v>
      </c>
      <c r="X11" s="3">
        <f t="shared" si="16"/>
        <v>12.7679717909602</v>
      </c>
      <c r="Y11" s="8">
        <f t="shared" si="17"/>
        <v>12.633246056399408</v>
      </c>
      <c r="Z11" s="3">
        <f t="shared" si="18"/>
        <v>1.8499183044729939</v>
      </c>
      <c r="AA11" s="3">
        <f t="shared" si="19"/>
        <v>2322.744172547149</v>
      </c>
      <c r="AB11" s="3"/>
      <c r="AC11" s="3"/>
      <c r="AD11" s="15"/>
    </row>
    <row r="12" spans="1:30">
      <c r="A12" s="7">
        <f t="shared" si="3"/>
        <v>490</v>
      </c>
      <c r="B12" s="3">
        <f t="shared" si="4"/>
        <v>-29.215</v>
      </c>
      <c r="D12" s="1">
        <f t="shared" si="20"/>
        <v>10</v>
      </c>
      <c r="E12" s="2">
        <f t="shared" si="21"/>
        <v>10</v>
      </c>
      <c r="F12" s="2">
        <f t="shared" si="21"/>
        <v>6.3501000000000003</v>
      </c>
      <c r="G12" s="2">
        <f t="shared" si="5"/>
        <v>4.490198771212695</v>
      </c>
      <c r="H12" s="20">
        <f t="shared" si="0"/>
        <v>-12.857142857142854</v>
      </c>
      <c r="I12" s="2">
        <f t="shared" si="22"/>
        <v>180</v>
      </c>
      <c r="J12" s="20">
        <f t="shared" si="6"/>
        <v>16.357857142857146</v>
      </c>
      <c r="K12" s="2">
        <f t="shared" si="22"/>
        <v>180</v>
      </c>
      <c r="L12" s="2">
        <f t="shared" si="7"/>
        <v>180.74174805591022</v>
      </c>
      <c r="M12" s="2">
        <f t="shared" si="8"/>
        <v>9.0876984126984139E-2</v>
      </c>
      <c r="N12" s="2">
        <f t="shared" si="9"/>
        <v>5.1926043978953027</v>
      </c>
      <c r="P12" s="4">
        <f t="shared" si="10"/>
        <v>0.70586764398150248</v>
      </c>
      <c r="Q12" s="4">
        <f t="shared" si="11"/>
        <v>1.0795170000000001</v>
      </c>
      <c r="R12" s="4">
        <f t="shared" si="12"/>
        <v>5.9727042125655707E-3</v>
      </c>
      <c r="S12" s="4">
        <f t="shared" si="1"/>
        <v>0.36447689583879661</v>
      </c>
      <c r="T12" s="2">
        <f t="shared" si="2"/>
        <v>175.36818673544397</v>
      </c>
      <c r="U12" s="6">
        <f t="shared" si="13"/>
        <v>0.3756450500299417</v>
      </c>
      <c r="V12" s="4">
        <f t="shared" si="14"/>
        <v>0.53217491017308283</v>
      </c>
      <c r="W12" s="4">
        <f t="shared" si="15"/>
        <v>0.9195989063834149</v>
      </c>
      <c r="X12" s="3">
        <f t="shared" si="16"/>
        <v>12.305060623199854</v>
      </c>
      <c r="Y12" s="8">
        <f t="shared" si="17"/>
        <v>12.254561749014503</v>
      </c>
      <c r="Z12" s="3">
        <f t="shared" si="18"/>
        <v>1.113657613548338</v>
      </c>
      <c r="AA12" s="3">
        <f t="shared" si="19"/>
        <v>2224.0381669710896</v>
      </c>
      <c r="AB12" s="3"/>
      <c r="AC12" s="3"/>
      <c r="AD12" s="15"/>
    </row>
    <row r="13" spans="1:30">
      <c r="A13" s="7"/>
      <c r="B13" s="3"/>
      <c r="D13" s="1"/>
      <c r="E13" s="2"/>
      <c r="F13" s="2"/>
      <c r="G13" s="2"/>
      <c r="H13" s="20"/>
      <c r="I13" s="2"/>
      <c r="J13" s="20"/>
      <c r="K13" s="2"/>
      <c r="L13" s="2"/>
      <c r="M13" s="2"/>
      <c r="N13" s="2"/>
      <c r="P13" s="4"/>
      <c r="Q13" s="4"/>
      <c r="R13" s="4"/>
      <c r="S13" s="4"/>
      <c r="T13" s="2"/>
      <c r="U13" s="6"/>
      <c r="V13" s="4"/>
      <c r="W13" s="4"/>
      <c r="X13" s="3"/>
      <c r="Y13" s="8"/>
      <c r="Z13" s="3"/>
      <c r="AA13" s="3"/>
      <c r="AB13" s="3"/>
      <c r="AC13" s="3"/>
      <c r="AD13" s="15"/>
    </row>
    <row r="14" spans="1:30">
      <c r="A14" s="7"/>
      <c r="B14" s="3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P14" s="4"/>
      <c r="Q14" s="4"/>
      <c r="R14" s="4"/>
      <c r="S14" s="4"/>
      <c r="T14" s="2"/>
      <c r="U14" s="6"/>
      <c r="V14" s="4"/>
      <c r="W14" s="4"/>
      <c r="X14" s="3"/>
      <c r="Y14" s="8"/>
      <c r="Z14" s="3"/>
      <c r="AA14" s="3"/>
      <c r="AB14" s="3"/>
      <c r="AC14" s="3"/>
      <c r="AD14" s="15"/>
    </row>
    <row r="15" spans="1:30" ht="22.5" customHeight="1">
      <c r="A15" s="11" t="s">
        <v>28</v>
      </c>
      <c r="B15" s="11" t="s">
        <v>37</v>
      </c>
      <c r="C15" s="12"/>
      <c r="D15" s="13" t="s">
        <v>1</v>
      </c>
      <c r="E15" s="11" t="s">
        <v>21</v>
      </c>
      <c r="F15" s="13" t="s">
        <v>2</v>
      </c>
      <c r="G15" s="13" t="s">
        <v>3</v>
      </c>
      <c r="H15" s="13" t="s">
        <v>38</v>
      </c>
      <c r="I15" s="13" t="s">
        <v>39</v>
      </c>
      <c r="J15" s="11" t="s">
        <v>42</v>
      </c>
      <c r="K15" s="11" t="s">
        <v>43</v>
      </c>
      <c r="L15" s="11" t="s">
        <v>165</v>
      </c>
      <c r="M15" s="13" t="s">
        <v>19</v>
      </c>
      <c r="N15" s="13" t="s">
        <v>20</v>
      </c>
      <c r="O15" s="12"/>
      <c r="P15" s="14" t="s">
        <v>6</v>
      </c>
      <c r="Q15" s="14" t="s">
        <v>7</v>
      </c>
      <c r="R15" s="14" t="s">
        <v>8</v>
      </c>
      <c r="S15" s="14" t="s">
        <v>22</v>
      </c>
      <c r="T15" s="14" t="s">
        <v>23</v>
      </c>
      <c r="U15" s="14" t="s">
        <v>9</v>
      </c>
      <c r="V15" s="14" t="s">
        <v>10</v>
      </c>
      <c r="W15" s="14" t="s">
        <v>12</v>
      </c>
      <c r="X15" s="14" t="s">
        <v>13</v>
      </c>
      <c r="Y15" s="14" t="s">
        <v>14</v>
      </c>
      <c r="Z15" s="14" t="s">
        <v>15</v>
      </c>
      <c r="AA15" s="14" t="s">
        <v>16</v>
      </c>
      <c r="AB15" s="14" t="s">
        <v>41</v>
      </c>
      <c r="AC15" s="14" t="s">
        <v>29</v>
      </c>
      <c r="AD15" s="14" t="s">
        <v>27</v>
      </c>
    </row>
    <row r="16" spans="1:30" ht="22.5" customHeight="1">
      <c r="A16" s="11" t="s">
        <v>24</v>
      </c>
      <c r="B16" s="11" t="s">
        <v>4</v>
      </c>
      <c r="C16" s="12"/>
      <c r="D16" s="13" t="s">
        <v>0</v>
      </c>
      <c r="E16" s="13" t="s">
        <v>4</v>
      </c>
      <c r="F16" s="13" t="s">
        <v>4</v>
      </c>
      <c r="G16" s="13" t="s">
        <v>4</v>
      </c>
      <c r="H16" s="13" t="s">
        <v>4</v>
      </c>
      <c r="I16" s="13" t="s">
        <v>4</v>
      </c>
      <c r="J16" s="13" t="s">
        <v>4</v>
      </c>
      <c r="K16" s="13" t="s">
        <v>4</v>
      </c>
      <c r="L16" s="13" t="s">
        <v>4</v>
      </c>
      <c r="M16" s="13" t="s">
        <v>45</v>
      </c>
      <c r="N16" s="13" t="s">
        <v>5</v>
      </c>
      <c r="O16" s="12"/>
      <c r="P16" s="13" t="s">
        <v>4</v>
      </c>
      <c r="Q16" s="13" t="s">
        <v>4</v>
      </c>
      <c r="R16" s="13"/>
      <c r="S16" s="13" t="s">
        <v>4</v>
      </c>
      <c r="T16" s="13" t="s">
        <v>4</v>
      </c>
      <c r="U16" s="13" t="s">
        <v>4</v>
      </c>
      <c r="V16" s="14" t="s">
        <v>11</v>
      </c>
      <c r="W16" s="13"/>
      <c r="X16" s="13" t="s">
        <v>18</v>
      </c>
      <c r="Y16" s="13" t="s">
        <v>18</v>
      </c>
      <c r="Z16" s="13" t="s">
        <v>18</v>
      </c>
      <c r="AA16" s="13" t="s">
        <v>17</v>
      </c>
      <c r="AB16" s="14" t="s">
        <v>4</v>
      </c>
      <c r="AC16" s="14" t="s">
        <v>18</v>
      </c>
      <c r="AD16" s="13" t="s">
        <v>17</v>
      </c>
    </row>
    <row r="17" spans="1:30">
      <c r="A17" s="7">
        <f>A3</f>
        <v>490</v>
      </c>
      <c r="B17" s="3">
        <f>B3</f>
        <v>-29.215</v>
      </c>
      <c r="D17" s="1">
        <f>MAX(D3:D14)+1</f>
        <v>11</v>
      </c>
      <c r="E17" s="2">
        <f>E3</f>
        <v>10</v>
      </c>
      <c r="F17" s="2">
        <f>F3</f>
        <v>6.3501000000000003</v>
      </c>
      <c r="G17" s="2">
        <f t="shared" si="5"/>
        <v>4.490198771212695</v>
      </c>
      <c r="H17" s="2">
        <f>-$AB$3</f>
        <v>-17.857142857142854</v>
      </c>
      <c r="I17" s="2">
        <f t="shared" ref="I17:I34" si="23">E17*(MAX($D$17:$D$59)-D17+0.5)</f>
        <v>175</v>
      </c>
      <c r="J17" s="20">
        <f t="shared" ref="J17:J31" si="24">H17-B17</f>
        <v>11.357857142857146</v>
      </c>
      <c r="K17" s="2">
        <f>I17</f>
        <v>175</v>
      </c>
      <c r="L17" s="2">
        <f t="shared" ref="L17:L31" si="25">SQRT(J17^2+K17^2)</f>
        <v>175.36818673544397</v>
      </c>
      <c r="M17" s="2">
        <f>IF(J17=0,"infinity",ABS(K17/J17))</f>
        <v>15.407835985158162</v>
      </c>
      <c r="N17" s="2">
        <f>IF(J17=0,90,ATAN(M17)*180/PI())</f>
        <v>86.28659509638193</v>
      </c>
      <c r="P17" s="4">
        <f>0.209 * (ABS(N17)+2)^-0.32 * F17</f>
        <v>0.31640295064252688</v>
      </c>
      <c r="Q17" s="4">
        <f t="shared" si="11"/>
        <v>0.36447689583879661</v>
      </c>
      <c r="R17" s="4">
        <f t="shared" si="12"/>
        <v>2.0783524231144457E-3</v>
      </c>
      <c r="S17" s="4">
        <f t="shared" ref="S17:S34" si="26">INDEX($Q$3:$Q$59, MATCH(MIN($R$3:$R$59),$R$3:$R$59,0))</f>
        <v>0.36447689583879661</v>
      </c>
      <c r="T17" s="2">
        <f t="shared" ref="T17:T34" si="27">INDEX($L$3:$L$59, MATCH(MIN($R$3:$R$59),$R$3:$R$59,0))</f>
        <v>175.36818673544397</v>
      </c>
      <c r="U17" s="6">
        <f t="shared" si="13"/>
        <v>0.36447689583879661</v>
      </c>
      <c r="V17" s="4">
        <f t="shared" si="14"/>
        <v>1.1519389913989262</v>
      </c>
      <c r="W17" s="4">
        <f t="shared" si="15"/>
        <v>0.99832181307674595</v>
      </c>
      <c r="X17" s="3">
        <f t="shared" si="16"/>
        <v>19.747804294824984</v>
      </c>
      <c r="Y17" s="8">
        <f>X17*SIN(N17*PI()/180)</f>
        <v>19.706343641494133</v>
      </c>
      <c r="Z17" s="3">
        <f>X17*COS(N17*PI()/180)</f>
        <v>1.2789819193608079</v>
      </c>
      <c r="AA17" s="3">
        <f t="shared" si="19"/>
        <v>3463.1366311898701</v>
      </c>
      <c r="AB17" s="3">
        <f>AD17/AC18+MAX($D$3:$D$14)*E3-AB3</f>
        <v>553.70985153629249</v>
      </c>
      <c r="AC17" s="3">
        <f>stiffener_C_shaped_weld!D87</f>
        <v>292.35137038461596</v>
      </c>
      <c r="AD17" s="3">
        <f>stiffener_C_shaped_weld!D85*1000/2</f>
        <v>35082.164446153911</v>
      </c>
    </row>
    <row r="18" spans="1:30">
      <c r="A18" s="7">
        <f>A17</f>
        <v>490</v>
      </c>
      <c r="B18" s="3">
        <f>B17</f>
        <v>-29.215</v>
      </c>
      <c r="D18" s="1">
        <f>D17+1</f>
        <v>12</v>
      </c>
      <c r="E18" s="2">
        <f t="shared" si="21"/>
        <v>10</v>
      </c>
      <c r="F18" s="2">
        <f t="shared" si="21"/>
        <v>6.3501000000000003</v>
      </c>
      <c r="G18" s="2">
        <f t="shared" si="5"/>
        <v>4.490198771212695</v>
      </c>
      <c r="H18" s="2">
        <f t="shared" ref="H18:H34" si="28">-$AB$3</f>
        <v>-17.857142857142854</v>
      </c>
      <c r="I18" s="2">
        <f t="shared" si="23"/>
        <v>165</v>
      </c>
      <c r="J18" s="20">
        <f t="shared" si="24"/>
        <v>11.357857142857146</v>
      </c>
      <c r="K18" s="2">
        <f t="shared" ref="K18:K31" si="29">I18</f>
        <v>165</v>
      </c>
      <c r="L18" s="2">
        <f t="shared" si="25"/>
        <v>165.39044990227686</v>
      </c>
      <c r="M18" s="2">
        <f t="shared" ref="M18:M31" si="30">IF(J18=0,"infinity",ABS(K18/J18))</f>
        <v>14.527388214577696</v>
      </c>
      <c r="N18" s="2">
        <f t="shared" ref="N18:N31" si="31">IF(J18=0,90,ATAN(M18)*180/PI())</f>
        <v>86.062228136097147</v>
      </c>
      <c r="P18" s="4">
        <f t="shared" si="10"/>
        <v>0.31666069187393786</v>
      </c>
      <c r="Q18" s="4">
        <f t="shared" si="11"/>
        <v>0.36505402859092639</v>
      </c>
      <c r="R18" s="4">
        <f t="shared" si="12"/>
        <v>2.2072255611289733E-3</v>
      </c>
      <c r="S18" s="4">
        <f t="shared" si="26"/>
        <v>0.36447689583879661</v>
      </c>
      <c r="T18" s="2">
        <f t="shared" si="27"/>
        <v>175.36818673544397</v>
      </c>
      <c r="U18" s="6">
        <f t="shared" si="13"/>
        <v>0.34373964231438547</v>
      </c>
      <c r="V18" s="4">
        <f t="shared" si="14"/>
        <v>1.0855140885349537</v>
      </c>
      <c r="W18" s="4">
        <f t="shared" si="15"/>
        <v>1.0005905975882132</v>
      </c>
      <c r="X18" s="3">
        <f t="shared" si="16"/>
        <v>19.790097681399587</v>
      </c>
      <c r="Y18" s="8">
        <f t="shared" ref="Y18:Y31" si="32">X18*SIN(N18*PI()/180)</f>
        <v>19.743377682086944</v>
      </c>
      <c r="Z18" s="3">
        <f t="shared" ref="Z18:Z31" si="33">X18*COS(N18*PI()/180)</f>
        <v>1.3590452317007105</v>
      </c>
      <c r="AA18" s="3">
        <f t="shared" si="19"/>
        <v>3273.0931591366839</v>
      </c>
      <c r="AB18" s="3"/>
      <c r="AC18" s="17">
        <f>stiffener_C_shaped_weld!D86</f>
        <v>74.39486830769232</v>
      </c>
      <c r="AD18" s="3"/>
    </row>
    <row r="19" spans="1:30">
      <c r="A19" s="7">
        <f>A18</f>
        <v>490</v>
      </c>
      <c r="B19" s="3">
        <f>B18</f>
        <v>-29.215</v>
      </c>
      <c r="D19" s="1">
        <f t="shared" ref="D19:D34" si="34">D18+1</f>
        <v>13</v>
      </c>
      <c r="E19" s="2">
        <f t="shared" si="21"/>
        <v>10</v>
      </c>
      <c r="F19" s="2">
        <f t="shared" si="21"/>
        <v>6.3501000000000003</v>
      </c>
      <c r="G19" s="2">
        <f t="shared" si="5"/>
        <v>4.490198771212695</v>
      </c>
      <c r="H19" s="2">
        <f t="shared" si="28"/>
        <v>-17.857142857142854</v>
      </c>
      <c r="I19" s="2">
        <f t="shared" si="23"/>
        <v>155</v>
      </c>
      <c r="J19" s="20">
        <f t="shared" si="24"/>
        <v>11.357857142857146</v>
      </c>
      <c r="K19" s="2">
        <f t="shared" si="29"/>
        <v>155</v>
      </c>
      <c r="L19" s="2">
        <f t="shared" si="25"/>
        <v>155.41557489157111</v>
      </c>
      <c r="M19" s="2">
        <f t="shared" si="30"/>
        <v>13.646940443997229</v>
      </c>
      <c r="N19" s="2">
        <f t="shared" si="31"/>
        <v>85.809056248439106</v>
      </c>
      <c r="P19" s="4">
        <f t="shared" si="10"/>
        <v>0.31695256563053009</v>
      </c>
      <c r="Q19" s="4">
        <f t="shared" si="11"/>
        <v>0.36570804867750478</v>
      </c>
      <c r="R19" s="4">
        <f t="shared" si="12"/>
        <v>2.3530978084574123E-3</v>
      </c>
      <c r="S19" s="4">
        <f t="shared" si="26"/>
        <v>0.36447689583879661</v>
      </c>
      <c r="T19" s="2">
        <f t="shared" si="27"/>
        <v>175.36818673544397</v>
      </c>
      <c r="U19" s="6">
        <f t="shared" si="13"/>
        <v>0.32300833666562145</v>
      </c>
      <c r="V19" s="4">
        <f t="shared" si="14"/>
        <v>1.0191062376259499</v>
      </c>
      <c r="W19" s="4">
        <f t="shared" si="15"/>
        <v>1.0004743615060721</v>
      </c>
      <c r="X19" s="3">
        <f t="shared" si="16"/>
        <v>19.784700366972604</v>
      </c>
      <c r="Y19" s="8">
        <f t="shared" si="32"/>
        <v>19.731796887282695</v>
      </c>
      <c r="Z19" s="3">
        <f t="shared" si="33"/>
        <v>1.4458769691460018</v>
      </c>
      <c r="AA19" s="3">
        <f t="shared" si="19"/>
        <v>3074.8505815905251</v>
      </c>
      <c r="AB19" s="14" t="s">
        <v>46</v>
      </c>
      <c r="AC19" s="3"/>
      <c r="AD19" s="3"/>
    </row>
    <row r="20" spans="1:30">
      <c r="A20" s="7">
        <f t="shared" ref="A20:B31" si="35">A19</f>
        <v>490</v>
      </c>
      <c r="B20" s="3">
        <f t="shared" si="35"/>
        <v>-29.215</v>
      </c>
      <c r="D20" s="1">
        <f t="shared" si="34"/>
        <v>14</v>
      </c>
      <c r="E20" s="2">
        <f t="shared" si="21"/>
        <v>10</v>
      </c>
      <c r="F20" s="2">
        <f t="shared" si="21"/>
        <v>6.3501000000000003</v>
      </c>
      <c r="G20" s="2">
        <f t="shared" si="5"/>
        <v>4.490198771212695</v>
      </c>
      <c r="H20" s="2">
        <f t="shared" si="28"/>
        <v>-17.857142857142854</v>
      </c>
      <c r="I20" s="2">
        <f t="shared" si="23"/>
        <v>145</v>
      </c>
      <c r="J20" s="20">
        <f t="shared" si="24"/>
        <v>11.357857142857146</v>
      </c>
      <c r="K20" s="2">
        <f t="shared" si="29"/>
        <v>145</v>
      </c>
      <c r="L20" s="2">
        <f t="shared" si="25"/>
        <v>145.44415051447601</v>
      </c>
      <c r="M20" s="2">
        <f t="shared" si="30"/>
        <v>12.766492673416764</v>
      </c>
      <c r="N20" s="2">
        <f t="shared" si="31"/>
        <v>85.521163939327963</v>
      </c>
      <c r="P20" s="4">
        <f t="shared" si="10"/>
        <v>0.31728582021818447</v>
      </c>
      <c r="Q20" s="4">
        <f t="shared" si="11"/>
        <v>0.36645538760179641</v>
      </c>
      <c r="R20" s="4">
        <f t="shared" si="12"/>
        <v>2.5195608507151564E-3</v>
      </c>
      <c r="S20" s="4">
        <f t="shared" si="26"/>
        <v>0.36447689583879661</v>
      </c>
      <c r="T20" s="2">
        <f t="shared" si="27"/>
        <v>175.36818673544397</v>
      </c>
      <c r="U20" s="6">
        <f t="shared" si="13"/>
        <v>0.30228420264958339</v>
      </c>
      <c r="V20" s="4">
        <f t="shared" si="14"/>
        <v>0.95271891583971491</v>
      </c>
      <c r="W20" s="4">
        <f t="shared" si="15"/>
        <v>0.99797319394349604</v>
      </c>
      <c r="X20" s="3">
        <f t="shared" si="16"/>
        <v>19.731491680406435</v>
      </c>
      <c r="Y20" s="8">
        <f t="shared" si="32"/>
        <v>19.671236578016742</v>
      </c>
      <c r="Z20" s="3">
        <f t="shared" si="33"/>
        <v>1.5408489301824864</v>
      </c>
      <c r="AA20" s="3">
        <f t="shared" si="19"/>
        <v>2869.8300458401645</v>
      </c>
      <c r="AB20" s="14" t="s">
        <v>4</v>
      </c>
      <c r="AC20" s="3"/>
      <c r="AD20" s="3"/>
    </row>
    <row r="21" spans="1:30">
      <c r="A21" s="7">
        <f t="shared" si="35"/>
        <v>490</v>
      </c>
      <c r="B21" s="3">
        <f t="shared" si="35"/>
        <v>-29.215</v>
      </c>
      <c r="D21" s="1">
        <f t="shared" si="34"/>
        <v>15</v>
      </c>
      <c r="E21" s="2">
        <f t="shared" ref="E21:F31" si="36">E20</f>
        <v>10</v>
      </c>
      <c r="F21" s="2">
        <f t="shared" si="36"/>
        <v>6.3501000000000003</v>
      </c>
      <c r="G21" s="2">
        <f t="shared" si="5"/>
        <v>4.490198771212695</v>
      </c>
      <c r="H21" s="2">
        <f t="shared" si="28"/>
        <v>-17.857142857142854</v>
      </c>
      <c r="I21" s="2">
        <f t="shared" si="23"/>
        <v>135</v>
      </c>
      <c r="J21" s="20">
        <f t="shared" si="24"/>
        <v>11.357857142857146</v>
      </c>
      <c r="K21" s="2">
        <f t="shared" si="29"/>
        <v>135</v>
      </c>
      <c r="L21" s="2">
        <f t="shared" si="25"/>
        <v>135.47693869761579</v>
      </c>
      <c r="M21" s="2">
        <f t="shared" si="30"/>
        <v>11.886044902836296</v>
      </c>
      <c r="N21" s="2">
        <f t="shared" si="31"/>
        <v>85.190901027765335</v>
      </c>
      <c r="P21" s="4">
        <f t="shared" si="10"/>
        <v>0.31766990826951907</v>
      </c>
      <c r="Q21" s="4">
        <f t="shared" si="11"/>
        <v>0.36731750790832057</v>
      </c>
      <c r="R21" s="4">
        <f t="shared" si="12"/>
        <v>2.7112917625646414E-3</v>
      </c>
      <c r="S21" s="4">
        <f t="shared" si="26"/>
        <v>0.36447689583879661</v>
      </c>
      <c r="T21" s="2">
        <f t="shared" si="27"/>
        <v>175.36818673544397</v>
      </c>
      <c r="U21" s="6">
        <f t="shared" si="13"/>
        <v>0.28156882381831705</v>
      </c>
      <c r="V21" s="4">
        <f t="shared" si="14"/>
        <v>0.88635661259872001</v>
      </c>
      <c r="W21" s="4">
        <f t="shared" si="15"/>
        <v>0.99304747743776067</v>
      </c>
      <c r="X21" s="3">
        <f t="shared" si="16"/>
        <v>19.629521595139494</v>
      </c>
      <c r="Y21" s="8">
        <f t="shared" si="32"/>
        <v>19.56041700394923</v>
      </c>
      <c r="Z21" s="3">
        <f t="shared" si="33"/>
        <v>1.6456623850782852</v>
      </c>
      <c r="AA21" s="3">
        <f t="shared" si="19"/>
        <v>2659.3474938082386</v>
      </c>
      <c r="AB21" s="3">
        <f>AB17-B3</f>
        <v>582.92485153629252</v>
      </c>
      <c r="AC21" s="3"/>
      <c r="AD21" s="3"/>
    </row>
    <row r="22" spans="1:30" hidden="1">
      <c r="A22" s="7">
        <f t="shared" si="35"/>
        <v>490</v>
      </c>
      <c r="B22" s="3">
        <f t="shared" si="35"/>
        <v>-29.215</v>
      </c>
      <c r="D22" s="1">
        <f t="shared" si="34"/>
        <v>16</v>
      </c>
      <c r="E22" s="2">
        <f t="shared" si="36"/>
        <v>10</v>
      </c>
      <c r="F22" s="2">
        <f t="shared" si="36"/>
        <v>6.3501000000000003</v>
      </c>
      <c r="G22" s="2">
        <f t="shared" si="5"/>
        <v>4.490198771212695</v>
      </c>
      <c r="H22" s="2">
        <f t="shared" si="28"/>
        <v>-17.857142857142854</v>
      </c>
      <c r="I22" s="2">
        <f t="shared" si="23"/>
        <v>125</v>
      </c>
      <c r="J22" s="20">
        <f t="shared" si="24"/>
        <v>11.357857142857146</v>
      </c>
      <c r="K22" s="2">
        <f t="shared" si="29"/>
        <v>125</v>
      </c>
      <c r="L22" s="2">
        <f t="shared" si="25"/>
        <v>125.5149430102948</v>
      </c>
      <c r="M22" s="2">
        <f t="shared" si="30"/>
        <v>11.005597132255831</v>
      </c>
      <c r="N22" s="2">
        <f t="shared" si="31"/>
        <v>84.808198389779633</v>
      </c>
      <c r="P22" s="4">
        <f t="shared" si="10"/>
        <v>0.31811739165051939</v>
      </c>
      <c r="Q22" s="4">
        <f t="shared" si="11"/>
        <v>0.36832298358486576</v>
      </c>
      <c r="R22" s="4">
        <f t="shared" si="12"/>
        <v>2.934495086809351E-3</v>
      </c>
      <c r="S22" s="4">
        <f t="shared" si="26"/>
        <v>0.36447689583879661</v>
      </c>
      <c r="T22" s="2">
        <f t="shared" si="27"/>
        <v>175.36818673544397</v>
      </c>
      <c r="U22" s="6">
        <f t="shared" si="13"/>
        <v>0.26086428594251782</v>
      </c>
      <c r="V22" s="4">
        <f t="shared" si="14"/>
        <v>0.82002522587353766</v>
      </c>
      <c r="W22" s="4">
        <f t="shared" si="15"/>
        <v>0.98561534537918016</v>
      </c>
      <c r="X22" s="3">
        <f t="shared" si="16"/>
        <v>19.476940446303036</v>
      </c>
      <c r="Y22" s="8">
        <f t="shared" si="32"/>
        <v>19.397033511684668</v>
      </c>
      <c r="Z22" s="3">
        <f t="shared" si="33"/>
        <v>1.7624698849674187</v>
      </c>
      <c r="AA22" s="3">
        <f t="shared" si="19"/>
        <v>2444.6470701326311</v>
      </c>
      <c r="AB22" s="3"/>
      <c r="AC22" s="3"/>
      <c r="AD22" s="3"/>
    </row>
    <row r="23" spans="1:30" hidden="1">
      <c r="A23" s="7">
        <f t="shared" si="35"/>
        <v>490</v>
      </c>
      <c r="B23" s="3">
        <f t="shared" si="35"/>
        <v>-29.215</v>
      </c>
      <c r="D23" s="1">
        <f t="shared" si="34"/>
        <v>17</v>
      </c>
      <c r="E23" s="2">
        <f t="shared" si="36"/>
        <v>10</v>
      </c>
      <c r="F23" s="2">
        <f t="shared" si="36"/>
        <v>6.3501000000000003</v>
      </c>
      <c r="G23" s="2">
        <f t="shared" si="5"/>
        <v>4.490198771212695</v>
      </c>
      <c r="H23" s="2">
        <f t="shared" si="28"/>
        <v>-17.857142857142854</v>
      </c>
      <c r="I23" s="2">
        <f t="shared" si="23"/>
        <v>115</v>
      </c>
      <c r="J23" s="20">
        <f t="shared" si="24"/>
        <v>11.357857142857146</v>
      </c>
      <c r="K23" s="2">
        <f t="shared" si="29"/>
        <v>115</v>
      </c>
      <c r="L23" s="2">
        <f t="shared" si="25"/>
        <v>115.55951245517416</v>
      </c>
      <c r="M23" s="2">
        <f t="shared" si="30"/>
        <v>10.125149361675364</v>
      </c>
      <c r="N23" s="2">
        <f t="shared" si="31"/>
        <v>84.359533238151158</v>
      </c>
      <c r="P23" s="4">
        <f t="shared" si="10"/>
        <v>0.31864533078013452</v>
      </c>
      <c r="Q23" s="4">
        <f t="shared" si="11"/>
        <v>0.36951070295940902</v>
      </c>
      <c r="R23" s="4">
        <f t="shared" si="12"/>
        <v>3.1975792828196916E-3</v>
      </c>
      <c r="S23" s="4">
        <f t="shared" si="26"/>
        <v>0.36447689583879661</v>
      </c>
      <c r="T23" s="2">
        <f t="shared" si="27"/>
        <v>175.36818673544397</v>
      </c>
      <c r="U23" s="6">
        <f t="shared" si="13"/>
        <v>0.24017339272513522</v>
      </c>
      <c r="V23" s="4">
        <f t="shared" si="14"/>
        <v>0.75373265987335303</v>
      </c>
      <c r="W23" s="4">
        <f t="shared" si="15"/>
        <v>0.97554709082112212</v>
      </c>
      <c r="X23" s="3">
        <f t="shared" si="16"/>
        <v>19.270856595384782</v>
      </c>
      <c r="Y23" s="8">
        <f t="shared" si="32"/>
        <v>19.177551560966474</v>
      </c>
      <c r="Z23" s="3">
        <f t="shared" si="33"/>
        <v>1.8940512259063844</v>
      </c>
      <c r="AA23" s="3">
        <f t="shared" si="19"/>
        <v>2226.9307927562427</v>
      </c>
      <c r="AB23" s="3"/>
      <c r="AC23" s="3"/>
      <c r="AD23" s="3"/>
    </row>
    <row r="24" spans="1:30" hidden="1">
      <c r="A24" s="7">
        <f t="shared" si="35"/>
        <v>490</v>
      </c>
      <c r="B24" s="3">
        <f t="shared" si="35"/>
        <v>-29.215</v>
      </c>
      <c r="D24" s="1">
        <f t="shared" si="34"/>
        <v>18</v>
      </c>
      <c r="E24" s="2">
        <f t="shared" si="36"/>
        <v>10</v>
      </c>
      <c r="F24" s="2">
        <f t="shared" si="36"/>
        <v>6.3501000000000003</v>
      </c>
      <c r="G24" s="2">
        <f t="shared" si="5"/>
        <v>4.490198771212695</v>
      </c>
      <c r="H24" s="2">
        <f t="shared" si="28"/>
        <v>-17.857142857142854</v>
      </c>
      <c r="I24" s="2">
        <f t="shared" si="23"/>
        <v>105</v>
      </c>
      <c r="J24" s="20">
        <f t="shared" si="24"/>
        <v>11.357857142857146</v>
      </c>
      <c r="K24" s="2">
        <f t="shared" si="29"/>
        <v>105</v>
      </c>
      <c r="L24" s="2">
        <f t="shared" si="25"/>
        <v>105.61250361049846</v>
      </c>
      <c r="M24" s="2">
        <f t="shared" si="30"/>
        <v>9.2447015910948966</v>
      </c>
      <c r="N24" s="2">
        <f t="shared" si="31"/>
        <v>83.826315897658262</v>
      </c>
      <c r="P24" s="4">
        <f t="shared" si="10"/>
        <v>0.31927748955491181</v>
      </c>
      <c r="Q24" s="4">
        <f t="shared" si="11"/>
        <v>0.37093496818534283</v>
      </c>
      <c r="R24" s="4">
        <f t="shared" si="12"/>
        <v>3.5122258776608514E-3</v>
      </c>
      <c r="S24" s="4">
        <f t="shared" si="26"/>
        <v>0.36447689583879661</v>
      </c>
      <c r="T24" s="2">
        <f t="shared" si="27"/>
        <v>175.36818673544397</v>
      </c>
      <c r="U24" s="6">
        <f t="shared" si="13"/>
        <v>0.21950000279006265</v>
      </c>
      <c r="V24" s="4">
        <f t="shared" si="14"/>
        <v>0.68748975411970392</v>
      </c>
      <c r="W24" s="4">
        <f t="shared" si="15"/>
        <v>0.962655663582069</v>
      </c>
      <c r="X24" s="3">
        <f t="shared" si="16"/>
        <v>19.007096362611115</v>
      </c>
      <c r="Y24" s="8">
        <f t="shared" si="32"/>
        <v>18.896864006126819</v>
      </c>
      <c r="Z24" s="3">
        <f t="shared" si="33"/>
        <v>2.0440750650436903</v>
      </c>
      <c r="AA24" s="3">
        <f t="shared" si="19"/>
        <v>2007.3870332213587</v>
      </c>
      <c r="AB24" s="3"/>
      <c r="AC24" s="3"/>
      <c r="AD24" s="3"/>
    </row>
    <row r="25" spans="1:30" hidden="1">
      <c r="A25" s="7">
        <f t="shared" si="35"/>
        <v>490</v>
      </c>
      <c r="B25" s="3">
        <f t="shared" si="35"/>
        <v>-29.215</v>
      </c>
      <c r="D25" s="1">
        <f t="shared" si="34"/>
        <v>19</v>
      </c>
      <c r="E25" s="2">
        <f t="shared" si="36"/>
        <v>10</v>
      </c>
      <c r="F25" s="2">
        <f t="shared" si="36"/>
        <v>6.3501000000000003</v>
      </c>
      <c r="G25" s="2">
        <f t="shared" si="5"/>
        <v>4.490198771212695</v>
      </c>
      <c r="H25" s="2">
        <f t="shared" si="28"/>
        <v>-17.857142857142854</v>
      </c>
      <c r="I25" s="2">
        <f t="shared" si="23"/>
        <v>95</v>
      </c>
      <c r="J25" s="20">
        <f t="shared" si="24"/>
        <v>11.357857142857146</v>
      </c>
      <c r="K25" s="2">
        <f t="shared" si="29"/>
        <v>95</v>
      </c>
      <c r="L25" s="2">
        <f t="shared" si="25"/>
        <v>95.676543200920207</v>
      </c>
      <c r="M25" s="2">
        <f t="shared" si="30"/>
        <v>8.3642538205144312</v>
      </c>
      <c r="N25" s="2">
        <f t="shared" si="31"/>
        <v>83.182284017387019</v>
      </c>
      <c r="P25" s="4">
        <f t="shared" si="10"/>
        <v>0.32004797286805015</v>
      </c>
      <c r="Q25" s="4">
        <f t="shared" si="11"/>
        <v>0.37267393979829255</v>
      </c>
      <c r="R25" s="4">
        <f t="shared" si="12"/>
        <v>3.8951442781087874E-3</v>
      </c>
      <c r="S25" s="4">
        <f t="shared" si="26"/>
        <v>0.36447689583879661</v>
      </c>
      <c r="T25" s="2">
        <f t="shared" si="27"/>
        <v>175.36818673544397</v>
      </c>
      <c r="U25" s="6">
        <f t="shared" si="13"/>
        <v>0.19884957539684647</v>
      </c>
      <c r="V25" s="4">
        <f t="shared" si="14"/>
        <v>0.62131177902766621</v>
      </c>
      <c r="W25" s="4">
        <f t="shared" si="15"/>
        <v>0.94668165545708038</v>
      </c>
      <c r="X25" s="3">
        <f t="shared" si="16"/>
        <v>18.679818123648936</v>
      </c>
      <c r="Y25" s="8">
        <f t="shared" si="32"/>
        <v>18.547730325290235</v>
      </c>
      <c r="Z25" s="3">
        <f t="shared" si="33"/>
        <v>2.2174996985145907</v>
      </c>
      <c r="AA25" s="3">
        <f t="shared" si="19"/>
        <v>1787.2204256926295</v>
      </c>
      <c r="AB25" s="3"/>
      <c r="AC25" s="3"/>
      <c r="AD25" s="3"/>
    </row>
    <row r="26" spans="1:30" hidden="1">
      <c r="A26" s="7">
        <f t="shared" si="35"/>
        <v>490</v>
      </c>
      <c r="B26" s="3">
        <f t="shared" si="35"/>
        <v>-29.215</v>
      </c>
      <c r="D26" s="1">
        <f t="shared" si="34"/>
        <v>20</v>
      </c>
      <c r="E26" s="2">
        <f t="shared" si="36"/>
        <v>10</v>
      </c>
      <c r="F26" s="2">
        <f t="shared" si="36"/>
        <v>6.3501000000000003</v>
      </c>
      <c r="G26" s="2">
        <f t="shared" si="5"/>
        <v>4.490198771212695</v>
      </c>
      <c r="H26" s="2">
        <f t="shared" si="28"/>
        <v>-17.857142857142854</v>
      </c>
      <c r="I26" s="2">
        <f t="shared" si="23"/>
        <v>85</v>
      </c>
      <c r="J26" s="20">
        <f t="shared" si="24"/>
        <v>11.357857142857146</v>
      </c>
      <c r="K26" s="2">
        <f t="shared" si="29"/>
        <v>85</v>
      </c>
      <c r="L26" s="2">
        <f t="shared" si="25"/>
        <v>85.75547165561828</v>
      </c>
      <c r="M26" s="2">
        <f t="shared" si="30"/>
        <v>7.4838060499339649</v>
      </c>
      <c r="N26" s="2">
        <f t="shared" si="31"/>
        <v>82.389115276732085</v>
      </c>
      <c r="P26" s="4">
        <f t="shared" si="10"/>
        <v>0.3210075092050782</v>
      </c>
      <c r="Q26" s="4">
        <f t="shared" si="11"/>
        <v>0.37484428784440366</v>
      </c>
      <c r="R26" s="4">
        <f t="shared" si="12"/>
        <v>4.3710830412049366E-3</v>
      </c>
      <c r="S26" s="4">
        <f t="shared" si="26"/>
        <v>0.36447689583879661</v>
      </c>
      <c r="T26" s="2">
        <f t="shared" si="27"/>
        <v>175.36818673544397</v>
      </c>
      <c r="U26" s="6">
        <f t="shared" si="13"/>
        <v>0.17823009231077644</v>
      </c>
      <c r="V26" s="4">
        <f t="shared" si="14"/>
        <v>0.55522094405870337</v>
      </c>
      <c r="W26" s="4">
        <f t="shared" si="15"/>
        <v>0.92726994977642241</v>
      </c>
      <c r="X26" s="3">
        <f t="shared" si="16"/>
        <v>18.280891597410541</v>
      </c>
      <c r="Y26" s="8">
        <f t="shared" si="32"/>
        <v>18.11984420096293</v>
      </c>
      <c r="Z26" s="3">
        <f t="shared" si="33"/>
        <v>2.4212070810043049</v>
      </c>
      <c r="AA26" s="3">
        <f t="shared" si="19"/>
        <v>1567.68648122117</v>
      </c>
      <c r="AB26" s="3"/>
      <c r="AC26" s="3"/>
      <c r="AD26" s="3"/>
    </row>
    <row r="27" spans="1:30" hidden="1">
      <c r="A27" s="7">
        <f t="shared" si="35"/>
        <v>490</v>
      </c>
      <c r="B27" s="3">
        <f t="shared" si="35"/>
        <v>-29.215</v>
      </c>
      <c r="D27" s="1">
        <f t="shared" si="34"/>
        <v>21</v>
      </c>
      <c r="E27" s="2">
        <f t="shared" si="36"/>
        <v>10</v>
      </c>
      <c r="F27" s="2">
        <f t="shared" si="36"/>
        <v>6.3501000000000003</v>
      </c>
      <c r="G27" s="2">
        <f t="shared" si="5"/>
        <v>4.490198771212695</v>
      </c>
      <c r="H27" s="2">
        <f t="shared" si="28"/>
        <v>-17.857142857142854</v>
      </c>
      <c r="I27" s="2">
        <f t="shared" si="23"/>
        <v>75</v>
      </c>
      <c r="J27" s="20">
        <f t="shared" si="24"/>
        <v>11.357857142857146</v>
      </c>
      <c r="K27" s="2">
        <f t="shared" si="29"/>
        <v>75</v>
      </c>
      <c r="L27" s="2">
        <f t="shared" si="25"/>
        <v>75.855131130844086</v>
      </c>
      <c r="M27" s="2">
        <f t="shared" si="30"/>
        <v>6.6033582793534977</v>
      </c>
      <c r="N27" s="2">
        <f t="shared" si="31"/>
        <v>81.388667784666822</v>
      </c>
      <c r="P27" s="4">
        <f t="shared" si="10"/>
        <v>0.32223491771155033</v>
      </c>
      <c r="Q27" s="4">
        <f t="shared" si="11"/>
        <v>0.37762808084726218</v>
      </c>
      <c r="R27" s="4">
        <f t="shared" si="12"/>
        <v>4.9782799820869555E-3</v>
      </c>
      <c r="S27" s="4">
        <f t="shared" si="26"/>
        <v>0.36447689583879661</v>
      </c>
      <c r="T27" s="2">
        <f t="shared" si="27"/>
        <v>175.36818673544397</v>
      </c>
      <c r="U27" s="6">
        <f t="shared" si="13"/>
        <v>0.15765369559145384</v>
      </c>
      <c r="V27" s="4">
        <f t="shared" si="14"/>
        <v>0.48925081338509091</v>
      </c>
      <c r="W27" s="4">
        <f t="shared" si="15"/>
        <v>0.90393302289583777</v>
      </c>
      <c r="X27" s="3">
        <f t="shared" si="16"/>
        <v>17.798872311875918</v>
      </c>
      <c r="Y27" s="8">
        <f t="shared" si="32"/>
        <v>17.598221814264228</v>
      </c>
      <c r="Z27" s="3">
        <f t="shared" si="33"/>
        <v>2.6650411911296703</v>
      </c>
      <c r="AA27" s="3">
        <f t="shared" si="19"/>
        <v>1350.1357931984978</v>
      </c>
      <c r="AB27" s="3"/>
      <c r="AC27" s="3"/>
      <c r="AD27" s="3"/>
    </row>
    <row r="28" spans="1:30" hidden="1">
      <c r="A28" s="7">
        <f t="shared" si="35"/>
        <v>490</v>
      </c>
      <c r="B28" s="3">
        <f t="shared" si="35"/>
        <v>-29.215</v>
      </c>
      <c r="D28" s="1">
        <f t="shared" si="34"/>
        <v>22</v>
      </c>
      <c r="E28" s="2">
        <f t="shared" si="36"/>
        <v>10</v>
      </c>
      <c r="F28" s="2">
        <f t="shared" si="36"/>
        <v>6.3501000000000003</v>
      </c>
      <c r="G28" s="2">
        <f t="shared" si="5"/>
        <v>4.490198771212695</v>
      </c>
      <c r="H28" s="2">
        <f t="shared" si="28"/>
        <v>-17.857142857142854</v>
      </c>
      <c r="I28" s="2">
        <f t="shared" si="23"/>
        <v>65</v>
      </c>
      <c r="J28" s="20">
        <f t="shared" si="24"/>
        <v>11.357857142857146</v>
      </c>
      <c r="K28" s="2">
        <f t="shared" si="29"/>
        <v>65</v>
      </c>
      <c r="L28" s="2">
        <f t="shared" si="25"/>
        <v>65.984853708086305</v>
      </c>
      <c r="M28" s="2">
        <f t="shared" si="30"/>
        <v>5.7229105087730314</v>
      </c>
      <c r="N28" s="2">
        <f t="shared" si="31"/>
        <v>80.088417102175512</v>
      </c>
      <c r="P28" s="4">
        <f t="shared" si="10"/>
        <v>0.32385950564288163</v>
      </c>
      <c r="Q28" s="4">
        <f t="shared" si="11"/>
        <v>0.38132566731066653</v>
      </c>
      <c r="R28" s="4">
        <f t="shared" si="12"/>
        <v>5.7789878416285075E-3</v>
      </c>
      <c r="S28" s="4">
        <f t="shared" si="26"/>
        <v>0.36447689583879661</v>
      </c>
      <c r="T28" s="2">
        <f t="shared" si="27"/>
        <v>175.36818673544397</v>
      </c>
      <c r="U28" s="6">
        <f t="shared" si="13"/>
        <v>0.1371397805930534</v>
      </c>
      <c r="V28" s="4">
        <f t="shared" si="14"/>
        <v>0.42345454804799459</v>
      </c>
      <c r="W28" s="4">
        <f t="shared" si="15"/>
        <v>0.87599174816845027</v>
      </c>
      <c r="X28" s="3">
        <f t="shared" si="16"/>
        <v>17.217227239934527</v>
      </c>
      <c r="Y28" s="8">
        <f t="shared" si="32"/>
        <v>16.960252356497964</v>
      </c>
      <c r="Z28" s="3">
        <f t="shared" si="33"/>
        <v>2.9635711287986184</v>
      </c>
      <c r="AA28" s="3">
        <f t="shared" si="19"/>
        <v>1136.0762206859583</v>
      </c>
      <c r="AB28" s="3"/>
      <c r="AC28" s="3"/>
      <c r="AD28" s="3"/>
    </row>
    <row r="29" spans="1:30" hidden="1">
      <c r="A29" s="7">
        <f t="shared" si="35"/>
        <v>490</v>
      </c>
      <c r="B29" s="3">
        <f t="shared" si="35"/>
        <v>-29.215</v>
      </c>
      <c r="D29" s="1">
        <f t="shared" si="34"/>
        <v>23</v>
      </c>
      <c r="E29" s="2">
        <f t="shared" si="36"/>
        <v>10</v>
      </c>
      <c r="F29" s="2">
        <f t="shared" si="36"/>
        <v>6.3501000000000003</v>
      </c>
      <c r="G29" s="2">
        <f t="shared" si="5"/>
        <v>4.490198771212695</v>
      </c>
      <c r="H29" s="2">
        <f t="shared" si="28"/>
        <v>-17.857142857142854</v>
      </c>
      <c r="I29" s="2">
        <f t="shared" si="23"/>
        <v>55</v>
      </c>
      <c r="J29" s="20">
        <f t="shared" si="24"/>
        <v>11.357857142857146</v>
      </c>
      <c r="K29" s="2">
        <f t="shared" si="29"/>
        <v>55</v>
      </c>
      <c r="L29" s="2">
        <f t="shared" si="25"/>
        <v>56.16049250921462</v>
      </c>
      <c r="M29" s="2">
        <f t="shared" si="30"/>
        <v>4.8424627381925651</v>
      </c>
      <c r="N29" s="2">
        <f t="shared" si="31"/>
        <v>78.332063779822107</v>
      </c>
      <c r="P29" s="4">
        <f t="shared" si="10"/>
        <v>0.32610870725397256</v>
      </c>
      <c r="Q29" s="4">
        <f t="shared" si="11"/>
        <v>0.3864691527478914</v>
      </c>
      <c r="R29" s="4">
        <f t="shared" si="12"/>
        <v>6.8815128835360709E-3</v>
      </c>
      <c r="S29" s="4">
        <f t="shared" si="26"/>
        <v>0.36447689583879661</v>
      </c>
      <c r="T29" s="2">
        <f t="shared" si="27"/>
        <v>175.36818673544397</v>
      </c>
      <c r="U29" s="6">
        <f t="shared" si="13"/>
        <v>0.11672129568982691</v>
      </c>
      <c r="V29" s="4">
        <f t="shared" si="14"/>
        <v>0.35792143261886189</v>
      </c>
      <c r="W29" s="4">
        <f t="shared" si="15"/>
        <v>0.84247638435039462</v>
      </c>
      <c r="X29" s="3">
        <f t="shared" si="16"/>
        <v>16.511059931525512</v>
      </c>
      <c r="Y29" s="8">
        <f t="shared" si="32"/>
        <v>16.16987771403365</v>
      </c>
      <c r="Z29" s="3">
        <f t="shared" si="33"/>
        <v>3.3391847471538858</v>
      </c>
      <c r="AA29" s="3">
        <f t="shared" si="19"/>
        <v>927.26925760363224</v>
      </c>
      <c r="AB29" s="3"/>
      <c r="AC29" s="3"/>
      <c r="AD29" s="3"/>
    </row>
    <row r="30" spans="1:30" hidden="1">
      <c r="A30" s="7">
        <f t="shared" si="35"/>
        <v>490</v>
      </c>
      <c r="B30" s="3">
        <f t="shared" si="35"/>
        <v>-29.215</v>
      </c>
      <c r="D30" s="1">
        <f t="shared" si="34"/>
        <v>24</v>
      </c>
      <c r="E30" s="2">
        <f t="shared" si="36"/>
        <v>10</v>
      </c>
      <c r="F30" s="2">
        <f t="shared" si="36"/>
        <v>6.3501000000000003</v>
      </c>
      <c r="G30" s="2">
        <f t="shared" si="5"/>
        <v>4.490198771212695</v>
      </c>
      <c r="H30" s="2">
        <f t="shared" si="28"/>
        <v>-17.857142857142854</v>
      </c>
      <c r="I30" s="2">
        <f t="shared" si="23"/>
        <v>45</v>
      </c>
      <c r="J30" s="20">
        <f t="shared" si="24"/>
        <v>11.357857142857146</v>
      </c>
      <c r="K30" s="2">
        <f t="shared" si="29"/>
        <v>45</v>
      </c>
      <c r="L30" s="2">
        <f t="shared" si="25"/>
        <v>46.411215442795196</v>
      </c>
      <c r="M30" s="2">
        <f t="shared" si="30"/>
        <v>3.9620149676120988</v>
      </c>
      <c r="N30" s="2">
        <f t="shared" si="31"/>
        <v>75.834579738443821</v>
      </c>
      <c r="P30" s="4">
        <f t="shared" si="10"/>
        <v>0.32942125962407337</v>
      </c>
      <c r="Q30" s="4">
        <f t="shared" si="11"/>
        <v>0.3940952060299544</v>
      </c>
      <c r="R30" s="4">
        <f t="shared" si="12"/>
        <v>8.4913786952143504E-3</v>
      </c>
      <c r="S30" s="4">
        <f t="shared" si="26"/>
        <v>0.36447689583879661</v>
      </c>
      <c r="T30" s="2">
        <f t="shared" si="27"/>
        <v>175.36818673544397</v>
      </c>
      <c r="U30" s="6">
        <f t="shared" si="13"/>
        <v>9.6458862075219989E-2</v>
      </c>
      <c r="V30" s="4">
        <f t="shared" si="14"/>
        <v>0.29281310558188089</v>
      </c>
      <c r="W30" s="4">
        <f t="shared" si="15"/>
        <v>0.80195393879446619</v>
      </c>
      <c r="X30" s="3">
        <f t="shared" si="16"/>
        <v>15.640525904289051</v>
      </c>
      <c r="Y30" s="8">
        <f t="shared" si="32"/>
        <v>15.164947932908914</v>
      </c>
      <c r="Z30" s="3">
        <f t="shared" si="33"/>
        <v>3.8275847155743632</v>
      </c>
      <c r="AA30" s="3">
        <f t="shared" si="19"/>
        <v>725.89581738257834</v>
      </c>
      <c r="AB30" s="3"/>
      <c r="AC30" s="3"/>
      <c r="AD30" s="3"/>
    </row>
    <row r="31" spans="1:30" hidden="1">
      <c r="A31" s="7">
        <f t="shared" si="35"/>
        <v>490</v>
      </c>
      <c r="B31" s="3">
        <f t="shared" si="35"/>
        <v>-29.215</v>
      </c>
      <c r="D31" s="1">
        <f t="shared" si="34"/>
        <v>25</v>
      </c>
      <c r="E31" s="2">
        <f t="shared" si="36"/>
        <v>10</v>
      </c>
      <c r="F31" s="2">
        <f t="shared" si="36"/>
        <v>6.3501000000000003</v>
      </c>
      <c r="G31" s="2">
        <f t="shared" si="5"/>
        <v>4.490198771212695</v>
      </c>
      <c r="H31" s="2">
        <f t="shared" si="28"/>
        <v>-17.857142857142854</v>
      </c>
      <c r="I31" s="2">
        <f t="shared" si="23"/>
        <v>35</v>
      </c>
      <c r="J31" s="20">
        <f t="shared" si="24"/>
        <v>11.357857142857146</v>
      </c>
      <c r="K31" s="2">
        <f t="shared" si="29"/>
        <v>35</v>
      </c>
      <c r="L31" s="2">
        <f t="shared" si="25"/>
        <v>36.796751471801841</v>
      </c>
      <c r="M31" s="2">
        <f t="shared" si="30"/>
        <v>3.0815671970316325</v>
      </c>
      <c r="N31" s="2">
        <f t="shared" si="31"/>
        <v>72.021224287249822</v>
      </c>
      <c r="P31" s="4">
        <f t="shared" si="10"/>
        <v>0.33475945040647725</v>
      </c>
      <c r="Q31" s="4">
        <f t="shared" si="11"/>
        <v>0.40651054336300907</v>
      </c>
      <c r="R31" s="4">
        <f t="shared" si="12"/>
        <v>1.1047457373364249E-2</v>
      </c>
      <c r="S31" s="4">
        <f t="shared" si="26"/>
        <v>0.36447689583879661</v>
      </c>
      <c r="T31" s="2">
        <f t="shared" si="27"/>
        <v>175.36818673544397</v>
      </c>
      <c r="U31" s="6">
        <f t="shared" si="13"/>
        <v>7.6476617584159412E-2</v>
      </c>
      <c r="V31" s="4">
        <f t="shared" si="14"/>
        <v>0.2284524529219375</v>
      </c>
      <c r="W31" s="4">
        <f t="shared" si="15"/>
        <v>0.75221670912493421</v>
      </c>
      <c r="X31" s="3">
        <f t="shared" si="16"/>
        <v>14.536043207004465</v>
      </c>
      <c r="Y31" s="8">
        <f t="shared" si="32"/>
        <v>13.826261609942154</v>
      </c>
      <c r="Z31" s="3">
        <f t="shared" si="33"/>
        <v>4.4867629767283717</v>
      </c>
      <c r="AA31" s="3">
        <f t="shared" si="19"/>
        <v>534.87916927151673</v>
      </c>
      <c r="AB31" s="3"/>
      <c r="AC31" s="3"/>
      <c r="AD31" s="3"/>
    </row>
    <row r="32" spans="1:30" hidden="1">
      <c r="A32" s="7">
        <f t="shared" ref="A32:B34" si="37">A31</f>
        <v>490</v>
      </c>
      <c r="B32" s="3">
        <f t="shared" si="37"/>
        <v>-29.215</v>
      </c>
      <c r="D32" s="1">
        <f t="shared" si="34"/>
        <v>26</v>
      </c>
      <c r="E32" s="2">
        <f t="shared" ref="E32:F34" si="38">E31</f>
        <v>10</v>
      </c>
      <c r="F32" s="2">
        <f t="shared" si="38"/>
        <v>6.3501000000000003</v>
      </c>
      <c r="G32" s="2">
        <f>F32/SQRT(2)</f>
        <v>4.490198771212695</v>
      </c>
      <c r="H32" s="2">
        <f t="shared" si="28"/>
        <v>-17.857142857142854</v>
      </c>
      <c r="I32" s="2">
        <f t="shared" si="23"/>
        <v>25</v>
      </c>
      <c r="J32" s="20">
        <f>H32-B32</f>
        <v>11.357857142857146</v>
      </c>
      <c r="K32" s="2">
        <f>I32</f>
        <v>25</v>
      </c>
      <c r="L32" s="2">
        <f>SQRT(J32^2+K32^2)</f>
        <v>27.459077167260212</v>
      </c>
      <c r="M32" s="2">
        <f>IF(J32=0,"infinity",ABS(K32/J32))</f>
        <v>2.2011194264511662</v>
      </c>
      <c r="N32" s="2">
        <f>IF(J32=0,90,ATAN(M32)*180/PI())</f>
        <v>65.56702319466288</v>
      </c>
      <c r="P32" s="4">
        <f>0.209 * (N32+2)^-0.32 * F32</f>
        <v>0.34467653568627593</v>
      </c>
      <c r="Q32" s="4">
        <f>MIN(1.087*(N32+6)^-0.65 * F32, 0.17*F32)</f>
        <v>0.42997844918456174</v>
      </c>
      <c r="R32" s="4">
        <f>Q32/L32</f>
        <v>1.5658881999764736E-2</v>
      </c>
      <c r="S32" s="4">
        <f t="shared" si="26"/>
        <v>0.36447689583879661</v>
      </c>
      <c r="T32" s="2">
        <f t="shared" si="27"/>
        <v>175.36818673544397</v>
      </c>
      <c r="U32" s="6">
        <f>S32*L32/T32</f>
        <v>5.7069639567061813E-2</v>
      </c>
      <c r="V32" s="4">
        <f>U32/P32</f>
        <v>0.16557448406933772</v>
      </c>
      <c r="W32" s="4">
        <f>POWER(V32*(1.9-0.9*V32),0.3)</f>
        <v>0.68973553191941328</v>
      </c>
      <c r="X32" s="3">
        <f>0.6*A32*G32*E32*(1+0.5*SIN(N32*PI()/180)^1.5)*W32/1000</f>
        <v>13.060327024829187</v>
      </c>
      <c r="Y32" s="8">
        <f>X32*SIN(N32*PI()/180)</f>
        <v>11.890719183018621</v>
      </c>
      <c r="Z32" s="3">
        <f>X32*COS(N32*PI()/180)</f>
        <v>5.4021235922622619</v>
      </c>
      <c r="AA32" s="3">
        <f>L32*X32</f>
        <v>358.62452760443864</v>
      </c>
      <c r="AB32" s="3"/>
      <c r="AC32" s="3"/>
      <c r="AD32" s="3"/>
    </row>
    <row r="33" spans="1:30" hidden="1">
      <c r="A33" s="7">
        <f t="shared" si="37"/>
        <v>490</v>
      </c>
      <c r="B33" s="3">
        <f t="shared" si="37"/>
        <v>-29.215</v>
      </c>
      <c r="D33" s="1">
        <f t="shared" si="34"/>
        <v>27</v>
      </c>
      <c r="E33" s="2">
        <f t="shared" si="38"/>
        <v>10</v>
      </c>
      <c r="F33" s="2">
        <f t="shared" si="38"/>
        <v>6.3501000000000003</v>
      </c>
      <c r="G33" s="2">
        <f>F33/SQRT(2)</f>
        <v>4.490198771212695</v>
      </c>
      <c r="H33" s="2">
        <f t="shared" si="28"/>
        <v>-17.857142857142854</v>
      </c>
      <c r="I33" s="2">
        <f t="shared" si="23"/>
        <v>15</v>
      </c>
      <c r="J33" s="20">
        <f>H33-B33</f>
        <v>11.357857142857146</v>
      </c>
      <c r="K33" s="2">
        <f>I33</f>
        <v>15</v>
      </c>
      <c r="L33" s="2">
        <f>SQRT(J33^2+K33^2)</f>
        <v>18.814912141106348</v>
      </c>
      <c r="M33" s="2">
        <f>IF(J33=0,"infinity",ABS(K33/J33))</f>
        <v>1.3206716558706997</v>
      </c>
      <c r="N33" s="2">
        <f>IF(J33=0,90,ATAN(M33)*180/PI())</f>
        <v>52.867341382787288</v>
      </c>
      <c r="P33" s="4">
        <f>0.209 * (N33+2)^-0.32 * F33</f>
        <v>0.36842271381095709</v>
      </c>
      <c r="Q33" s="4">
        <f>MIN(1.087*(N33+6)^-0.65 * F33, 0.17*F33)</f>
        <v>0.48819320927862914</v>
      </c>
      <c r="R33" s="4">
        <f>Q33/L33</f>
        <v>2.5947142650325581E-2</v>
      </c>
      <c r="S33" s="4">
        <f t="shared" si="26"/>
        <v>0.36447689583879661</v>
      </c>
      <c r="T33" s="2">
        <f t="shared" si="27"/>
        <v>175.36818673544397</v>
      </c>
      <c r="U33" s="6">
        <f>S33*L33/T33</f>
        <v>3.9104018239153784E-2</v>
      </c>
      <c r="V33" s="4">
        <f>U33/P33</f>
        <v>0.10613899950592788</v>
      </c>
      <c r="W33" s="4">
        <f>POWER(V33*(1.9-0.9*V33),0.3)</f>
        <v>0.60907075992662785</v>
      </c>
      <c r="X33" s="3">
        <f>0.6*A33*G33*E33*(1+0.5*SIN(N33*PI()/180)^1.5)*W33/1000</f>
        <v>10.902222256409296</v>
      </c>
      <c r="Y33" s="8">
        <f>X33*SIN(N33*PI()/180)</f>
        <v>8.6916873498896603</v>
      </c>
      <c r="Z33" s="3">
        <f>X33*COS(N33*PI()/180)</f>
        <v>6.5812628833616911</v>
      </c>
      <c r="AA33" s="3">
        <f>L33*X33</f>
        <v>205.12435389715509</v>
      </c>
      <c r="AB33" s="3"/>
      <c r="AC33" s="3"/>
      <c r="AD33" s="3"/>
    </row>
    <row r="34" spans="1:30" hidden="1">
      <c r="A34" s="7">
        <f t="shared" si="37"/>
        <v>490</v>
      </c>
      <c r="B34" s="3">
        <f t="shared" si="37"/>
        <v>-29.215</v>
      </c>
      <c r="D34" s="1">
        <f t="shared" si="34"/>
        <v>28</v>
      </c>
      <c r="E34" s="2">
        <f t="shared" si="38"/>
        <v>10</v>
      </c>
      <c r="F34" s="2">
        <f t="shared" si="38"/>
        <v>6.3501000000000003</v>
      </c>
      <c r="G34" s="2">
        <f>F34/SQRT(2)</f>
        <v>4.490198771212695</v>
      </c>
      <c r="H34" s="2">
        <f t="shared" si="28"/>
        <v>-17.857142857142854</v>
      </c>
      <c r="I34" s="2">
        <f t="shared" si="23"/>
        <v>5</v>
      </c>
      <c r="J34" s="20">
        <f>H34-B34</f>
        <v>11.357857142857146</v>
      </c>
      <c r="K34" s="2">
        <f>I34</f>
        <v>5</v>
      </c>
      <c r="L34" s="2">
        <f>SQRT(J34^2+K34^2)</f>
        <v>12.40971066856722</v>
      </c>
      <c r="M34" s="2">
        <f>IF(J34=0,"infinity",ABS(K34/J34))</f>
        <v>0.44022388529023321</v>
      </c>
      <c r="N34" s="2">
        <f>IF(J34=0,90,ATAN(M34)*180/PI())</f>
        <v>23.760240658647</v>
      </c>
      <c r="P34" s="4">
        <f>0.209 * (N34+2)^-0.32 * F34</f>
        <v>0.4692700934243853</v>
      </c>
      <c r="Q34" s="4">
        <f>MIN(1.087*(N34+6)^-0.65 * F34, 0.17*F34)</f>
        <v>0.76058266586641754</v>
      </c>
      <c r="R34" s="4">
        <f>Q34/L34</f>
        <v>6.1289314971130722E-2</v>
      </c>
      <c r="S34" s="4">
        <f t="shared" si="26"/>
        <v>0.36447689583879661</v>
      </c>
      <c r="T34" s="2">
        <f t="shared" si="27"/>
        <v>175.36818673544397</v>
      </c>
      <c r="U34" s="6">
        <f>S34*L34/T34</f>
        <v>2.5791752238165874E-2</v>
      </c>
      <c r="V34" s="4">
        <f>U34/P34</f>
        <v>5.4961423281753977E-2</v>
      </c>
      <c r="W34" s="4">
        <f>POWER(V34*(1.9-0.9*V34),0.3)</f>
        <v>0.50374014458041338</v>
      </c>
      <c r="X34" s="3">
        <f>0.6*A34*G34*E34*(1+0.5*SIN(N34*PI()/180)^1.5)*W34/1000</f>
        <v>7.5003248931563915</v>
      </c>
      <c r="Y34" s="8">
        <f>X34*SIN(N34*PI()/180)</f>
        <v>3.0219580026769273</v>
      </c>
      <c r="Z34" s="3">
        <f>X34*COS(N34*PI()/180)</f>
        <v>6.8645934572236911</v>
      </c>
      <c r="AA34" s="3">
        <f>L34*X34</f>
        <v>93.076861844323162</v>
      </c>
      <c r="AB34" s="3"/>
      <c r="AC34" s="3"/>
      <c r="AD34" s="3"/>
    </row>
    <row r="35" spans="1:30" hidden="1">
      <c r="A35" s="7"/>
      <c r="B35" s="3"/>
      <c r="D35" s="1"/>
      <c r="E35" s="2"/>
      <c r="F35" s="2"/>
      <c r="G35" s="2"/>
      <c r="H35" s="2"/>
      <c r="I35" s="2"/>
      <c r="J35" s="20"/>
      <c r="K35" s="2"/>
      <c r="L35" s="2"/>
      <c r="M35" s="2"/>
      <c r="N35" s="2"/>
      <c r="P35" s="4"/>
      <c r="Q35" s="4"/>
      <c r="R35" s="4"/>
      <c r="S35" s="4"/>
      <c r="T35" s="2"/>
      <c r="U35" s="6"/>
      <c r="V35" s="4"/>
      <c r="W35" s="4"/>
      <c r="X35" s="3"/>
      <c r="Y35" s="8"/>
      <c r="Z35" s="3"/>
      <c r="AA35" s="3"/>
      <c r="AB35" s="3"/>
      <c r="AC35" s="3"/>
      <c r="AD35" s="3"/>
    </row>
    <row r="36" spans="1:30" hidden="1">
      <c r="A36" s="7"/>
      <c r="B36" s="3"/>
      <c r="D36" s="1"/>
      <c r="E36" s="2"/>
      <c r="F36" s="2"/>
      <c r="G36" s="2"/>
      <c r="H36" s="2"/>
      <c r="I36" s="2"/>
      <c r="J36" s="20"/>
      <c r="K36" s="2"/>
      <c r="L36" s="2"/>
      <c r="M36" s="2"/>
      <c r="N36" s="2"/>
      <c r="P36" s="4"/>
      <c r="Q36" s="4"/>
      <c r="R36" s="4"/>
      <c r="S36" s="4"/>
      <c r="T36" s="2"/>
      <c r="U36" s="6"/>
      <c r="V36" s="4"/>
      <c r="W36" s="4"/>
      <c r="X36" s="3"/>
      <c r="Y36" s="8"/>
      <c r="Z36" s="3"/>
      <c r="AA36" s="3"/>
      <c r="AB36" s="3"/>
      <c r="AC36" s="3"/>
      <c r="AD36" s="3"/>
    </row>
    <row r="37" spans="1:30" hidden="1">
      <c r="A37" s="7"/>
      <c r="B37" s="3"/>
      <c r="D37" s="1"/>
      <c r="E37" s="2"/>
      <c r="F37" s="2"/>
      <c r="G37" s="2"/>
      <c r="H37" s="2"/>
      <c r="I37" s="2"/>
      <c r="J37" s="20"/>
      <c r="K37" s="2"/>
      <c r="L37" s="2"/>
      <c r="M37" s="2"/>
      <c r="N37" s="2"/>
      <c r="P37" s="4"/>
      <c r="Q37" s="4"/>
      <c r="R37" s="4"/>
      <c r="S37" s="4"/>
      <c r="T37" s="2"/>
      <c r="U37" s="6"/>
      <c r="V37" s="4"/>
      <c r="W37" s="4"/>
      <c r="X37" s="3"/>
      <c r="Y37" s="8"/>
      <c r="Z37" s="3"/>
      <c r="AA37" s="3"/>
      <c r="AB37" s="3"/>
      <c r="AC37" s="3"/>
      <c r="AD37" s="3"/>
    </row>
    <row r="38" spans="1:30" hidden="1">
      <c r="A38" s="7"/>
      <c r="B38" s="3"/>
      <c r="D38" s="1"/>
      <c r="E38" s="2"/>
      <c r="F38" s="2"/>
      <c r="G38" s="2"/>
      <c r="H38" s="2"/>
      <c r="I38" s="2"/>
      <c r="J38" s="20"/>
      <c r="K38" s="2"/>
      <c r="L38" s="2"/>
      <c r="M38" s="2"/>
      <c r="N38" s="2"/>
      <c r="P38" s="4"/>
      <c r="Q38" s="4"/>
      <c r="R38" s="4"/>
      <c r="S38" s="4"/>
      <c r="T38" s="2"/>
      <c r="U38" s="6"/>
      <c r="V38" s="4"/>
      <c r="W38" s="4"/>
      <c r="X38" s="3"/>
      <c r="Y38" s="8"/>
      <c r="Z38" s="3"/>
      <c r="AA38" s="3"/>
      <c r="AB38" s="3"/>
      <c r="AC38" s="3"/>
      <c r="AD38" s="3"/>
    </row>
    <row r="39" spans="1:30" hidden="1">
      <c r="A39" s="7"/>
      <c r="B39" s="3"/>
      <c r="D39" s="1"/>
      <c r="E39" s="2"/>
      <c r="F39" s="2"/>
      <c r="G39" s="2"/>
      <c r="H39" s="2"/>
      <c r="I39" s="2"/>
      <c r="J39" s="20"/>
      <c r="K39" s="2"/>
      <c r="L39" s="2"/>
      <c r="M39" s="2"/>
      <c r="N39" s="2"/>
      <c r="P39" s="4"/>
      <c r="Q39" s="4"/>
      <c r="R39" s="4"/>
      <c r="S39" s="4"/>
      <c r="T39" s="2"/>
      <c r="U39" s="6"/>
      <c r="V39" s="4"/>
      <c r="W39" s="4"/>
      <c r="X39" s="3"/>
      <c r="Y39" s="8"/>
      <c r="Z39" s="3"/>
      <c r="AA39" s="3"/>
      <c r="AB39" s="3"/>
      <c r="AC39" s="3"/>
      <c r="AD39" s="3"/>
    </row>
    <row r="40" spans="1:30" hidden="1">
      <c r="A40" s="7"/>
      <c r="B40" s="3"/>
      <c r="D40" s="1"/>
      <c r="E40" s="2"/>
      <c r="F40" s="2"/>
      <c r="G40" s="2"/>
      <c r="H40" s="2"/>
      <c r="I40" s="2"/>
      <c r="J40" s="20"/>
      <c r="K40" s="2"/>
      <c r="L40" s="2"/>
      <c r="M40" s="2"/>
      <c r="N40" s="2"/>
      <c r="P40" s="4"/>
      <c r="Q40" s="4"/>
      <c r="R40" s="4"/>
      <c r="S40" s="4"/>
      <c r="T40" s="2"/>
      <c r="U40" s="6"/>
      <c r="V40" s="4"/>
      <c r="W40" s="4"/>
      <c r="X40" s="3"/>
      <c r="Y40" s="8"/>
      <c r="Z40" s="3"/>
      <c r="AA40" s="3"/>
      <c r="AB40" s="3"/>
      <c r="AC40" s="3"/>
      <c r="AD40" s="3"/>
    </row>
    <row r="41" spans="1:30" hidden="1">
      <c r="A41" s="7"/>
      <c r="B41" s="3"/>
      <c r="D41" s="1"/>
      <c r="E41" s="2"/>
      <c r="F41" s="2"/>
      <c r="G41" s="2"/>
      <c r="H41" s="2"/>
      <c r="I41" s="2"/>
      <c r="J41" s="20"/>
      <c r="K41" s="2"/>
      <c r="L41" s="2"/>
      <c r="M41" s="2"/>
      <c r="N41" s="2"/>
      <c r="P41" s="4"/>
      <c r="Q41" s="4"/>
      <c r="R41" s="4"/>
      <c r="S41" s="4"/>
      <c r="T41" s="2"/>
      <c r="U41" s="6"/>
      <c r="V41" s="4"/>
      <c r="W41" s="4"/>
      <c r="X41" s="3"/>
      <c r="Y41" s="8"/>
      <c r="Z41" s="3"/>
      <c r="AA41" s="3"/>
      <c r="AB41" s="3"/>
      <c r="AC41" s="3"/>
      <c r="AD41" s="3"/>
    </row>
    <row r="42" spans="1:30" hidden="1">
      <c r="A42" s="7"/>
      <c r="B42" s="3"/>
      <c r="D42" s="1"/>
      <c r="E42" s="2"/>
      <c r="F42" s="2"/>
      <c r="G42" s="2"/>
      <c r="H42" s="2"/>
      <c r="I42" s="2"/>
      <c r="J42" s="20"/>
      <c r="K42" s="2"/>
      <c r="L42" s="2"/>
      <c r="M42" s="2"/>
      <c r="N42" s="2"/>
      <c r="P42" s="4"/>
      <c r="Q42" s="4"/>
      <c r="R42" s="4"/>
      <c r="S42" s="4"/>
      <c r="T42" s="2"/>
      <c r="U42" s="6"/>
      <c r="V42" s="4"/>
      <c r="W42" s="4"/>
      <c r="X42" s="3"/>
      <c r="Y42" s="8"/>
      <c r="Z42" s="3"/>
      <c r="AA42" s="3"/>
      <c r="AB42" s="3"/>
      <c r="AC42" s="3"/>
      <c r="AD42" s="3"/>
    </row>
    <row r="43" spans="1:30" hidden="1">
      <c r="A43" s="7"/>
      <c r="B43" s="3"/>
      <c r="D43" s="1"/>
      <c r="E43" s="2"/>
      <c r="F43" s="2"/>
      <c r="G43" s="2"/>
      <c r="H43" s="2"/>
      <c r="I43" s="2"/>
      <c r="J43" s="20"/>
      <c r="K43" s="2"/>
      <c r="L43" s="2"/>
      <c r="M43" s="2"/>
      <c r="N43" s="2"/>
      <c r="P43" s="4"/>
      <c r="Q43" s="4"/>
      <c r="R43" s="4"/>
      <c r="S43" s="4"/>
      <c r="T43" s="2"/>
      <c r="U43" s="6"/>
      <c r="V43" s="4"/>
      <c r="W43" s="4"/>
      <c r="X43" s="3"/>
      <c r="Y43" s="8"/>
      <c r="Z43" s="3"/>
      <c r="AA43" s="3"/>
      <c r="AB43" s="3"/>
      <c r="AC43" s="3"/>
      <c r="AD43" s="3"/>
    </row>
    <row r="44" spans="1:30" hidden="1">
      <c r="A44" s="7"/>
      <c r="B44" s="3"/>
      <c r="D44" s="1"/>
      <c r="E44" s="2"/>
      <c r="F44" s="2"/>
      <c r="G44" s="2"/>
      <c r="H44" s="2"/>
      <c r="I44" s="2"/>
      <c r="J44" s="20"/>
      <c r="K44" s="2"/>
      <c r="L44" s="2"/>
      <c r="M44" s="2"/>
      <c r="N44" s="2"/>
      <c r="P44" s="4"/>
      <c r="Q44" s="4"/>
      <c r="R44" s="4"/>
      <c r="S44" s="4"/>
      <c r="T44" s="2"/>
      <c r="U44" s="6"/>
      <c r="V44" s="4"/>
      <c r="W44" s="4"/>
      <c r="X44" s="3"/>
      <c r="Y44" s="8"/>
      <c r="Z44" s="3"/>
      <c r="AA44" s="3"/>
      <c r="AB44" s="3"/>
      <c r="AC44" s="3"/>
      <c r="AD44" s="3"/>
    </row>
    <row r="45" spans="1:30" hidden="1">
      <c r="A45" s="7"/>
      <c r="B45" s="3"/>
      <c r="D45" s="1"/>
      <c r="E45" s="2"/>
      <c r="F45" s="2"/>
      <c r="G45" s="2"/>
      <c r="H45" s="2"/>
      <c r="I45" s="2"/>
      <c r="J45" s="20"/>
      <c r="K45" s="2"/>
      <c r="L45" s="2"/>
      <c r="M45" s="2"/>
      <c r="N45" s="2"/>
      <c r="P45" s="4"/>
      <c r="Q45" s="4"/>
      <c r="R45" s="4"/>
      <c r="S45" s="4"/>
      <c r="T45" s="2"/>
      <c r="U45" s="6"/>
      <c r="V45" s="4"/>
      <c r="W45" s="4"/>
      <c r="X45" s="3"/>
      <c r="Y45" s="8"/>
      <c r="Z45" s="3"/>
      <c r="AA45" s="3"/>
      <c r="AB45" s="3"/>
      <c r="AC45" s="3"/>
      <c r="AD45" s="3"/>
    </row>
    <row r="46" spans="1:30" hidden="1">
      <c r="A46" s="7"/>
      <c r="B46" s="3"/>
      <c r="D46" s="1"/>
      <c r="E46" s="2"/>
      <c r="F46" s="2"/>
      <c r="G46" s="2"/>
      <c r="H46" s="2"/>
      <c r="I46" s="2"/>
      <c r="J46" s="20"/>
      <c r="K46" s="2"/>
      <c r="L46" s="2"/>
      <c r="M46" s="2"/>
      <c r="N46" s="2"/>
      <c r="P46" s="4"/>
      <c r="Q46" s="4"/>
      <c r="R46" s="4"/>
      <c r="S46" s="4"/>
      <c r="T46" s="2"/>
      <c r="U46" s="6"/>
      <c r="V46" s="4"/>
      <c r="W46" s="4"/>
      <c r="X46" s="3"/>
      <c r="Y46" s="8"/>
      <c r="Z46" s="3"/>
      <c r="AA46" s="3"/>
      <c r="AB46" s="3"/>
      <c r="AC46" s="3"/>
      <c r="AD46" s="3"/>
    </row>
    <row r="47" spans="1:30" hidden="1">
      <c r="A47" s="7"/>
      <c r="B47" s="3"/>
      <c r="D47" s="1"/>
      <c r="E47" s="2"/>
      <c r="F47" s="2"/>
      <c r="G47" s="2"/>
      <c r="H47" s="2"/>
      <c r="I47" s="2"/>
      <c r="J47" s="20"/>
      <c r="K47" s="2"/>
      <c r="L47" s="2"/>
      <c r="M47" s="2"/>
      <c r="N47" s="2"/>
      <c r="P47" s="4"/>
      <c r="Q47" s="4"/>
      <c r="R47" s="4"/>
      <c r="S47" s="4"/>
      <c r="T47" s="2"/>
      <c r="U47" s="6"/>
      <c r="V47" s="4"/>
      <c r="W47" s="4"/>
      <c r="X47" s="3"/>
      <c r="Y47" s="8"/>
      <c r="Z47" s="3"/>
      <c r="AA47" s="3"/>
      <c r="AB47" s="3"/>
      <c r="AC47" s="3"/>
      <c r="AD47" s="3"/>
    </row>
    <row r="48" spans="1:30" hidden="1">
      <c r="A48" s="7"/>
      <c r="B48" s="3"/>
      <c r="D48" s="1"/>
      <c r="E48" s="2"/>
      <c r="F48" s="2"/>
      <c r="G48" s="2"/>
      <c r="H48" s="2"/>
      <c r="I48" s="2"/>
      <c r="J48" s="20"/>
      <c r="K48" s="2"/>
      <c r="L48" s="2"/>
      <c r="M48" s="2"/>
      <c r="N48" s="2"/>
      <c r="P48" s="4"/>
      <c r="Q48" s="4"/>
      <c r="R48" s="4"/>
      <c r="S48" s="4"/>
      <c r="T48" s="2"/>
      <c r="U48" s="6"/>
      <c r="V48" s="4"/>
      <c r="W48" s="4"/>
      <c r="X48" s="3"/>
      <c r="Y48" s="8"/>
      <c r="Z48" s="3"/>
      <c r="AA48" s="3"/>
      <c r="AB48" s="3"/>
      <c r="AC48" s="3"/>
      <c r="AD48" s="3"/>
    </row>
    <row r="49" spans="1:31" hidden="1">
      <c r="A49" s="7"/>
      <c r="B49" s="3"/>
      <c r="D49" s="1"/>
      <c r="E49" s="2"/>
      <c r="F49" s="2"/>
      <c r="G49" s="2"/>
      <c r="H49" s="2"/>
      <c r="I49" s="2"/>
      <c r="J49" s="20"/>
      <c r="K49" s="2"/>
      <c r="L49" s="2"/>
      <c r="M49" s="2"/>
      <c r="N49" s="2"/>
      <c r="P49" s="4"/>
      <c r="Q49" s="4"/>
      <c r="R49" s="4"/>
      <c r="S49" s="4"/>
      <c r="T49" s="2"/>
      <c r="U49" s="6"/>
      <c r="V49" s="4"/>
      <c r="W49" s="4"/>
      <c r="X49" s="3"/>
      <c r="Y49" s="8"/>
      <c r="Z49" s="3"/>
      <c r="AA49" s="3"/>
      <c r="AB49" s="3"/>
      <c r="AC49" s="3"/>
      <c r="AD49" s="3"/>
    </row>
    <row r="50" spans="1:31">
      <c r="A50" s="7"/>
      <c r="B50" s="3"/>
      <c r="D50" s="1"/>
      <c r="E50" s="2"/>
      <c r="F50" s="2"/>
      <c r="G50" s="2"/>
      <c r="H50" s="2"/>
      <c r="I50" s="2"/>
      <c r="J50" s="20"/>
      <c r="K50" s="2"/>
      <c r="L50" s="2"/>
      <c r="M50" s="2"/>
      <c r="N50" s="2"/>
      <c r="P50" s="4"/>
      <c r="Q50" s="4"/>
      <c r="R50" s="4"/>
      <c r="S50" s="4"/>
      <c r="T50" s="2"/>
      <c r="U50" s="6"/>
      <c r="V50" s="4"/>
      <c r="W50" s="4"/>
      <c r="X50" s="3"/>
      <c r="Y50" s="8"/>
      <c r="Z50" s="3"/>
      <c r="AA50" s="3"/>
      <c r="AB50" s="3"/>
      <c r="AC50" s="3"/>
      <c r="AD50" s="3"/>
    </row>
    <row r="51" spans="1:31">
      <c r="A51" s="7"/>
      <c r="B51" s="3"/>
      <c r="D51" s="1"/>
      <c r="E51" s="2"/>
      <c r="F51" s="2"/>
      <c r="G51" s="2"/>
      <c r="H51" s="2"/>
      <c r="I51" s="2"/>
      <c r="J51" s="20"/>
      <c r="K51" s="2"/>
      <c r="L51" s="2"/>
      <c r="M51" s="2"/>
      <c r="N51" s="2"/>
      <c r="P51" s="4"/>
      <c r="Q51" s="4"/>
      <c r="R51" s="4"/>
      <c r="S51" s="4"/>
      <c r="T51" s="2"/>
      <c r="U51" s="6"/>
      <c r="V51" s="4"/>
      <c r="W51" s="4"/>
      <c r="X51" s="3"/>
      <c r="Y51" s="8"/>
      <c r="Z51" s="3"/>
      <c r="AA51" s="3"/>
      <c r="AB51" s="3"/>
      <c r="AC51" s="3"/>
      <c r="AD51" s="3"/>
    </row>
    <row r="52" spans="1:31">
      <c r="A52" s="7"/>
      <c r="B52" s="3"/>
      <c r="D52" s="1"/>
      <c r="E52" s="2"/>
      <c r="F52" s="2"/>
      <c r="G52" s="2"/>
      <c r="H52" s="2"/>
      <c r="I52" s="2"/>
      <c r="J52" s="20"/>
      <c r="K52" s="2"/>
      <c r="L52" s="2"/>
      <c r="M52" s="2"/>
      <c r="N52" s="2"/>
      <c r="P52" s="4"/>
      <c r="Q52" s="4"/>
      <c r="R52" s="4"/>
      <c r="S52" s="4"/>
      <c r="T52" s="2"/>
      <c r="U52" s="6"/>
      <c r="V52" s="4"/>
      <c r="W52" s="4"/>
      <c r="X52" s="3"/>
      <c r="Y52" s="8"/>
      <c r="Z52" s="3"/>
      <c r="AA52" s="3"/>
      <c r="AB52" s="3"/>
      <c r="AC52" s="3"/>
      <c r="AD52" s="3"/>
    </row>
    <row r="53" spans="1:31">
      <c r="A53" s="7"/>
      <c r="B53" s="3"/>
      <c r="D53" s="1"/>
      <c r="E53" s="2"/>
      <c r="F53" s="2"/>
      <c r="G53" s="2"/>
      <c r="H53" s="2"/>
      <c r="I53" s="2"/>
      <c r="J53" s="20"/>
      <c r="K53" s="2"/>
      <c r="L53" s="2"/>
      <c r="M53" s="2"/>
      <c r="N53" s="2"/>
      <c r="P53" s="4"/>
      <c r="Q53" s="4"/>
      <c r="R53" s="4"/>
      <c r="S53" s="4"/>
      <c r="T53" s="2"/>
      <c r="U53" s="6"/>
      <c r="V53" s="4"/>
      <c r="W53" s="4"/>
      <c r="X53" s="3"/>
      <c r="Y53" s="8"/>
      <c r="Z53" s="3"/>
      <c r="AA53" s="3"/>
      <c r="AB53" s="3"/>
      <c r="AC53" s="3"/>
      <c r="AD53" s="3"/>
    </row>
    <row r="54" spans="1:31">
      <c r="A54" s="7"/>
      <c r="B54" s="3"/>
      <c r="D54" s="1"/>
      <c r="E54" s="2"/>
      <c r="F54" s="2"/>
      <c r="G54" s="2"/>
      <c r="H54" s="2"/>
      <c r="I54" s="2"/>
      <c r="J54" s="20"/>
      <c r="K54" s="2"/>
      <c r="L54" s="2"/>
      <c r="M54" s="2"/>
      <c r="N54" s="2"/>
      <c r="P54" s="4"/>
      <c r="Q54" s="4"/>
      <c r="R54" s="4"/>
      <c r="S54" s="4"/>
      <c r="T54" s="2"/>
      <c r="U54" s="6"/>
      <c r="V54" s="4"/>
      <c r="W54" s="4"/>
      <c r="X54" s="3"/>
      <c r="Y54" s="8"/>
      <c r="Z54" s="3"/>
      <c r="AA54" s="3"/>
      <c r="AB54" s="3"/>
      <c r="AC54" s="3"/>
      <c r="AD54" s="3"/>
    </row>
    <row r="55" spans="1:31">
      <c r="A55" s="7"/>
      <c r="B55" s="3"/>
      <c r="D55" s="1"/>
      <c r="E55" s="2"/>
      <c r="F55" s="2"/>
      <c r="G55" s="2"/>
      <c r="H55" s="2"/>
      <c r="I55" s="2"/>
      <c r="J55" s="20"/>
      <c r="K55" s="2"/>
      <c r="L55" s="2"/>
      <c r="M55" s="2"/>
      <c r="N55" s="2"/>
      <c r="P55" s="4"/>
      <c r="Q55" s="4"/>
      <c r="R55" s="4"/>
      <c r="S55" s="4"/>
      <c r="T55" s="2"/>
      <c r="U55" s="6"/>
      <c r="V55" s="4"/>
      <c r="W55" s="4"/>
      <c r="X55" s="3"/>
      <c r="Y55" s="8"/>
      <c r="Z55" s="3"/>
      <c r="AA55" s="3"/>
      <c r="AB55" s="3"/>
      <c r="AC55" s="3"/>
      <c r="AD55" s="3"/>
    </row>
    <row r="56" spans="1:31">
      <c r="A56" s="7"/>
      <c r="B56" s="3"/>
      <c r="D56" s="1"/>
      <c r="E56" s="2"/>
      <c r="F56" s="2"/>
      <c r="G56" s="2"/>
      <c r="H56" s="2"/>
      <c r="I56" s="2"/>
      <c r="J56" s="20"/>
      <c r="K56" s="2"/>
      <c r="L56" s="2"/>
      <c r="M56" s="2"/>
      <c r="N56" s="2"/>
      <c r="P56" s="4"/>
      <c r="Q56" s="4"/>
      <c r="R56" s="4"/>
      <c r="S56" s="4"/>
      <c r="T56" s="2"/>
      <c r="U56" s="6"/>
      <c r="V56" s="4"/>
      <c r="W56" s="4"/>
      <c r="X56" s="3"/>
      <c r="Y56" s="8"/>
      <c r="Z56" s="3"/>
      <c r="AA56" s="3"/>
      <c r="AB56" s="3"/>
      <c r="AC56" s="3"/>
      <c r="AD56" s="3"/>
    </row>
    <row r="57" spans="1:31">
      <c r="A57" s="7"/>
      <c r="B57" s="3"/>
      <c r="D57" s="1"/>
      <c r="E57" s="2"/>
      <c r="F57" s="2"/>
      <c r="G57" s="2"/>
      <c r="H57" s="2"/>
      <c r="I57" s="2"/>
      <c r="J57" s="20"/>
      <c r="K57" s="2"/>
      <c r="L57" s="2"/>
      <c r="M57" s="2"/>
      <c r="N57" s="2"/>
      <c r="P57" s="4"/>
      <c r="Q57" s="4"/>
      <c r="R57" s="4"/>
      <c r="S57" s="4"/>
      <c r="T57" s="2"/>
      <c r="U57" s="6"/>
      <c r="V57" s="4"/>
      <c r="W57" s="4"/>
      <c r="X57" s="3"/>
      <c r="Y57" s="8"/>
      <c r="Z57" s="3"/>
      <c r="AA57" s="3"/>
      <c r="AB57" s="3"/>
      <c r="AC57" s="3"/>
      <c r="AD57" s="3"/>
    </row>
    <row r="58" spans="1:31">
      <c r="A58" s="7"/>
      <c r="B58" s="3"/>
      <c r="D58" s="1"/>
      <c r="E58" s="2"/>
      <c r="F58" s="2"/>
      <c r="G58" s="2"/>
      <c r="H58" s="2"/>
      <c r="I58" s="2"/>
      <c r="J58" s="20"/>
      <c r="K58" s="2"/>
      <c r="L58" s="2"/>
      <c r="M58" s="2"/>
      <c r="N58" s="2"/>
      <c r="P58" s="4"/>
      <c r="Q58" s="4"/>
      <c r="R58" s="4"/>
      <c r="S58" s="4"/>
      <c r="T58" s="2"/>
      <c r="U58" s="6"/>
      <c r="V58" s="4"/>
      <c r="W58" s="4"/>
      <c r="X58" s="3"/>
      <c r="Y58" s="8"/>
      <c r="Z58" s="3"/>
      <c r="AA58" s="3"/>
      <c r="AB58" s="3"/>
      <c r="AC58" s="3"/>
      <c r="AD58" s="3"/>
    </row>
    <row r="59" spans="1:31">
      <c r="A59" s="7"/>
      <c r="B59" s="3"/>
      <c r="D59" s="1"/>
      <c r="E59" s="2"/>
      <c r="F59" s="2"/>
      <c r="G59" s="2"/>
      <c r="H59" s="2"/>
      <c r="I59" s="2"/>
      <c r="J59" s="20"/>
      <c r="K59" s="2"/>
      <c r="L59" s="2"/>
      <c r="M59" s="2"/>
      <c r="N59" s="2"/>
      <c r="P59" s="4"/>
      <c r="Q59" s="4"/>
      <c r="R59" s="4"/>
      <c r="S59" s="4"/>
      <c r="T59" s="2"/>
      <c r="U59" s="6"/>
      <c r="V59" s="4"/>
      <c r="W59" s="4"/>
      <c r="X59" s="3"/>
      <c r="Y59" s="8"/>
      <c r="Z59" s="3"/>
      <c r="AA59" s="3"/>
      <c r="AB59" s="3"/>
      <c r="AC59" s="3"/>
      <c r="AD59" s="3"/>
    </row>
    <row r="60" spans="1:31"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X60" s="14" t="s">
        <v>26</v>
      </c>
      <c r="Y60" s="9">
        <f>ABS(SUM(Y3:Y59))</f>
        <v>427.52431862080908</v>
      </c>
      <c r="Z60" s="19">
        <f>SUM(Z3:Z59)</f>
        <v>99.192928832014616</v>
      </c>
      <c r="AA60" s="10">
        <f>SUM(AA3:AA59)</f>
        <v>57821.790928027076</v>
      </c>
      <c r="AB60" s="3"/>
      <c r="AC60" s="3"/>
      <c r="AD60" s="3"/>
      <c r="AE60" s="15"/>
    </row>
    <row r="61" spans="1:31" ht="23.25" customHeight="1"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R61" s="5"/>
      <c r="X61" s="14" t="s">
        <v>25</v>
      </c>
      <c r="Y61" s="3">
        <f>0.75*Y60</f>
        <v>320.64323896560683</v>
      </c>
      <c r="Z61" s="17">
        <f>0.75*Z60</f>
        <v>74.394696624010962</v>
      </c>
      <c r="AA61" s="18">
        <f>AA60/AB21</f>
        <v>99.192530178870115</v>
      </c>
      <c r="AB61" s="16" t="str">
        <f>IF(ABS(Z60-AA61)&lt;0.1,"balanced ro = "&amp;B3, "NG")</f>
        <v>balanced ro = -29.215</v>
      </c>
      <c r="AC61" s="3"/>
    </row>
    <row r="62" spans="1:31"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31"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</row>
  </sheetData>
  <phoneticPr fontId="1" type="noConversion"/>
  <conditionalFormatting sqref="R3:R14 R17:R31 R37:R59">
    <cfRule type="cellIs" dxfId="289" priority="15" operator="equal">
      <formula>#REF!</formula>
    </cfRule>
  </conditionalFormatting>
  <conditionalFormatting sqref="R3:R14 R17:R31 R37:R59">
    <cfRule type="cellIs" dxfId="288" priority="12" operator="equal">
      <formula>MIN($R$3:$R$59)</formula>
    </cfRule>
    <cfRule type="cellIs" dxfId="287" priority="13" operator="equal">
      <formula>0.05292</formula>
    </cfRule>
    <cfRule type="cellIs" dxfId="286" priority="14" operator="equal">
      <formula>MIN($R$3:$R$59)</formula>
    </cfRule>
  </conditionalFormatting>
  <conditionalFormatting sqref="R3:R14 R17:R31 R37:R59">
    <cfRule type="cellIs" dxfId="285" priority="11" operator="equal">
      <formula>MIN($R$3:$R$59)</formula>
    </cfRule>
  </conditionalFormatting>
  <conditionalFormatting sqref="R32:R36">
    <cfRule type="cellIs" dxfId="284" priority="10" operator="equal">
      <formula>#REF!</formula>
    </cfRule>
  </conditionalFormatting>
  <conditionalFormatting sqref="R32:R36">
    <cfRule type="cellIs" dxfId="283" priority="7" operator="equal">
      <formula>MIN($R$3:$R$59)</formula>
    </cfRule>
    <cfRule type="cellIs" dxfId="282" priority="8" operator="equal">
      <formula>0.05292</formula>
    </cfRule>
    <cfRule type="cellIs" dxfId="281" priority="9" operator="equal">
      <formula>MIN($R$3:$R$59)</formula>
    </cfRule>
  </conditionalFormatting>
  <conditionalFormatting sqref="R32:R36">
    <cfRule type="cellIs" dxfId="280" priority="6" operator="equal">
      <formula>MIN($R$3:$R$59)</formula>
    </cfRule>
  </conditionalFormatting>
  <conditionalFormatting sqref="F3">
    <cfRule type="expression" dxfId="279" priority="2">
      <formula>ABS($Z$61-$AC$18)&lt;0.001</formula>
    </cfRule>
  </conditionalFormatting>
  <conditionalFormatting sqref="B3">
    <cfRule type="expression" dxfId="278" priority="1">
      <formula>ABS($Z$60-$AA$61)&lt;0.001</formula>
    </cfRule>
  </conditionalFormatting>
  <pageMargins left="0.7" right="0.7" top="0.75" bottom="0.75" header="0.3" footer="0.3"/>
  <pageSetup paperSize="9" orientation="portrait" r:id="rId1"/>
  <ignoredErrors>
    <ignoredError sqref="J4:J12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63"/>
  <sheetViews>
    <sheetView zoomScale="85" zoomScaleNormal="85" workbookViewId="0">
      <selection activeCell="L15" sqref="L15"/>
    </sheetView>
  </sheetViews>
  <sheetFormatPr defaultRowHeight="16.5"/>
  <cols>
    <col min="1" max="2" width="9" customWidth="1"/>
    <col min="3" max="3" width="2.375" customWidth="1"/>
    <col min="8" max="8" width="8.875" hidden="1" customWidth="1"/>
    <col min="9" max="9" width="0" hidden="1" customWidth="1"/>
    <col min="10" max="10" width="8.875" customWidth="1"/>
    <col min="15" max="15" width="2.375" customWidth="1"/>
    <col min="16" max="17" width="9.375" bestFit="1" customWidth="1"/>
    <col min="18" max="18" width="10.375" bestFit="1" customWidth="1"/>
    <col min="19" max="20" width="9.375" customWidth="1"/>
    <col min="21" max="23" width="9.375" bestFit="1" customWidth="1"/>
    <col min="24" max="26" width="10.25" customWidth="1"/>
    <col min="27" max="27" width="15" customWidth="1"/>
    <col min="28" max="28" width="10.25" customWidth="1"/>
    <col min="29" max="29" width="13.75" customWidth="1"/>
    <col min="30" max="30" width="13.625" bestFit="1" customWidth="1"/>
    <col min="31" max="31" width="13.375" bestFit="1" customWidth="1"/>
  </cols>
  <sheetData>
    <row r="1" spans="1:30" ht="22.5" customHeight="1">
      <c r="A1" s="11" t="s">
        <v>28</v>
      </c>
      <c r="B1" s="11" t="s">
        <v>37</v>
      </c>
      <c r="C1" s="12"/>
      <c r="D1" s="13" t="s">
        <v>1</v>
      </c>
      <c r="E1" s="11" t="s">
        <v>21</v>
      </c>
      <c r="F1" s="13" t="s">
        <v>2</v>
      </c>
      <c r="G1" s="13" t="s">
        <v>3</v>
      </c>
      <c r="H1" s="13" t="s">
        <v>38</v>
      </c>
      <c r="I1" s="13" t="s">
        <v>39</v>
      </c>
      <c r="J1" s="11" t="s">
        <v>42</v>
      </c>
      <c r="K1" s="11" t="s">
        <v>43</v>
      </c>
      <c r="L1" s="11" t="s">
        <v>165</v>
      </c>
      <c r="M1" s="13" t="s">
        <v>19</v>
      </c>
      <c r="N1" s="13" t="s">
        <v>20</v>
      </c>
      <c r="O1" s="12"/>
      <c r="P1" s="14" t="s">
        <v>6</v>
      </c>
      <c r="Q1" s="14" t="s">
        <v>7</v>
      </c>
      <c r="R1" s="14" t="s">
        <v>8</v>
      </c>
      <c r="S1" s="14" t="s">
        <v>22</v>
      </c>
      <c r="T1" s="14" t="s">
        <v>23</v>
      </c>
      <c r="U1" s="14" t="s">
        <v>9</v>
      </c>
      <c r="V1" s="14" t="s">
        <v>10</v>
      </c>
      <c r="W1" s="14" t="s">
        <v>12</v>
      </c>
      <c r="X1" s="14" t="s">
        <v>13</v>
      </c>
      <c r="Y1" s="14" t="s">
        <v>14</v>
      </c>
      <c r="Z1" s="14" t="s">
        <v>15</v>
      </c>
      <c r="AA1" s="14" t="s">
        <v>16</v>
      </c>
      <c r="AB1" s="14" t="s">
        <v>40</v>
      </c>
      <c r="AC1" s="15"/>
    </row>
    <row r="2" spans="1:30" ht="22.5" customHeight="1">
      <c r="A2" s="11" t="s">
        <v>24</v>
      </c>
      <c r="B2" s="11" t="s">
        <v>4</v>
      </c>
      <c r="C2" s="12"/>
      <c r="D2" s="13" t="s">
        <v>0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44</v>
      </c>
      <c r="N2" s="13" t="s">
        <v>5</v>
      </c>
      <c r="O2" s="12"/>
      <c r="P2" s="13" t="s">
        <v>4</v>
      </c>
      <c r="Q2" s="13" t="s">
        <v>4</v>
      </c>
      <c r="R2" s="13"/>
      <c r="S2" s="13" t="s">
        <v>4</v>
      </c>
      <c r="T2" s="13" t="s">
        <v>4</v>
      </c>
      <c r="U2" s="13" t="s">
        <v>4</v>
      </c>
      <c r="V2" s="14" t="s">
        <v>11</v>
      </c>
      <c r="W2" s="13"/>
      <c r="X2" s="13" t="s">
        <v>18</v>
      </c>
      <c r="Y2" s="13" t="s">
        <v>18</v>
      </c>
      <c r="Z2" s="13" t="s">
        <v>18</v>
      </c>
      <c r="AA2" s="13" t="s">
        <v>17</v>
      </c>
      <c r="AB2" s="14" t="s">
        <v>4</v>
      </c>
      <c r="AC2" s="15"/>
    </row>
    <row r="3" spans="1:30">
      <c r="A3" s="7">
        <f>stiffener_C_shaped_weld!F30</f>
        <v>490</v>
      </c>
      <c r="B3" s="3">
        <v>-45.997399999999999</v>
      </c>
      <c r="D3" s="1">
        <v>1</v>
      </c>
      <c r="E3" s="2">
        <v>10</v>
      </c>
      <c r="F3" s="20">
        <v>7.9916200000000002</v>
      </c>
      <c r="G3" s="2">
        <f>F3/SQRT(2)</f>
        <v>5.6509286946660371</v>
      </c>
      <c r="H3" s="20">
        <f t="shared" ref="H3:H12" si="0">(MAX($D$3:$D$14)-D3+0.5)*E3-$AB$3</f>
        <v>78.870967741935488</v>
      </c>
      <c r="I3" s="2">
        <f>(MAX(D17:D59)-MAX(D3:D14))*E17</f>
        <v>210</v>
      </c>
      <c r="J3" s="20">
        <f>H3-B3</f>
        <v>124.86836774193549</v>
      </c>
      <c r="K3" s="2">
        <f>I3</f>
        <v>210</v>
      </c>
      <c r="L3" s="2">
        <f>SQRT(J3^2+K3^2)</f>
        <v>244.31968660452893</v>
      </c>
      <c r="M3" s="2">
        <f>ABS(J3/K3)</f>
        <v>0.5946112749615976</v>
      </c>
      <c r="N3" s="2">
        <f>ATAN(M3)*180/PI()</f>
        <v>30.736193780571693</v>
      </c>
      <c r="P3" s="4">
        <f>0.209 * (N3+2)^-0.32 * F3</f>
        <v>0.54698081335553128</v>
      </c>
      <c r="Q3" s="4">
        <f>MIN(1.087*(N3+6)^-0.65 * F3, 0.17*F3)</f>
        <v>0.83474373255692347</v>
      </c>
      <c r="R3" s="4">
        <f>Q3/L3</f>
        <v>3.4166044667046898E-3</v>
      </c>
      <c r="S3" s="4">
        <f t="shared" ref="S3:S12" si="1">INDEX($Q$3:$Q$59, MATCH(MIN($R$3:$R$59),$R$3:$R$59,0))</f>
        <v>0.4741123307808825</v>
      </c>
      <c r="T3" s="2">
        <f t="shared" ref="T3:T12" si="2">INDEX($L$3:$L$59, MATCH(MIN($R$3:$R$59),$R$3:$R$59,0))</f>
        <v>207.16447425069651</v>
      </c>
      <c r="U3" s="6">
        <f>S3*L3/T3</f>
        <v>0.55914498125558088</v>
      </c>
      <c r="V3" s="4">
        <f>U3/P3</f>
        <v>1.0222387469597458</v>
      </c>
      <c r="W3" s="4">
        <f>POWER(V3*(1.9-0.9*V3),0.3)</f>
        <v>1.0005332988173312</v>
      </c>
      <c r="X3" s="3">
        <f>0.6*A3*G3*E3*(1+0.5*SIN(N3*PI()/180)^1.5)*W3/1000</f>
        <v>19.659344829238545</v>
      </c>
      <c r="Y3" s="8">
        <f>X3*COS(N3*PI()/180)</f>
        <v>16.897788596228356</v>
      </c>
      <c r="Z3" s="3">
        <f>X3*SIN(N3*PI()/180)</f>
        <v>10.047615621234886</v>
      </c>
      <c r="AA3" s="3">
        <f>L3*X3</f>
        <v>4803.1649675299277</v>
      </c>
      <c r="AB3" s="3">
        <f>(MAX(D3:D14)*E3*G3*MAX(D3:D14)*E3/2)/(MAX(D3:D14)*E3*G3+I3*G3)</f>
        <v>16.129032258064516</v>
      </c>
      <c r="AC3" s="3"/>
      <c r="AD3" s="15"/>
    </row>
    <row r="4" spans="1:30">
      <c r="A4" s="7">
        <f t="shared" ref="A4:B12" si="3">A3</f>
        <v>490</v>
      </c>
      <c r="B4" s="3">
        <f t="shared" si="3"/>
        <v>-45.997399999999999</v>
      </c>
      <c r="D4" s="1">
        <f>D3+1</f>
        <v>2</v>
      </c>
      <c r="E4" s="2">
        <f>E3</f>
        <v>10</v>
      </c>
      <c r="F4" s="2">
        <f>F3</f>
        <v>7.9916200000000002</v>
      </c>
      <c r="G4" s="2">
        <f t="shared" ref="G4:G36" si="4">F4/SQRT(2)</f>
        <v>5.6509286946660371</v>
      </c>
      <c r="H4" s="20">
        <f t="shared" si="0"/>
        <v>68.870967741935488</v>
      </c>
      <c r="I4" s="2">
        <f>I3</f>
        <v>210</v>
      </c>
      <c r="J4" s="20">
        <f t="shared" ref="J4:J12" si="5">H4-B4</f>
        <v>114.86836774193549</v>
      </c>
      <c r="K4" s="2">
        <f>K3</f>
        <v>210</v>
      </c>
      <c r="L4" s="2">
        <f t="shared" ref="L4:L12" si="6">SQRT(J4^2+K4^2)</f>
        <v>239.3632008218818</v>
      </c>
      <c r="M4" s="2">
        <f t="shared" ref="M4:M12" si="7">ABS(J4/K4)</f>
        <v>0.54699222734254993</v>
      </c>
      <c r="N4" s="2">
        <f t="shared" ref="N4:N12" si="8">ATAN(M4)*180/PI()</f>
        <v>28.678316564021575</v>
      </c>
      <c r="P4" s="4">
        <f t="shared" ref="P4:P36" si="9">0.209 * (N4+2)^-0.32 * F4</f>
        <v>0.55846379517126199</v>
      </c>
      <c r="Q4" s="4">
        <f t="shared" ref="Q4:Q36" si="10">MIN(1.087*(N4+6)^-0.65 * F4, 0.17*F4)</f>
        <v>0.86661592374415797</v>
      </c>
      <c r="R4" s="4">
        <f t="shared" ref="R4:R36" si="11">Q4/L4</f>
        <v>3.6205060793327039E-3</v>
      </c>
      <c r="S4" s="4">
        <f t="shared" si="1"/>
        <v>0.4741123307808825</v>
      </c>
      <c r="T4" s="2">
        <f t="shared" si="2"/>
        <v>207.16447425069651</v>
      </c>
      <c r="U4" s="6">
        <f t="shared" ref="U4:U36" si="12">S4*L4/T4</f>
        <v>0.54780167041334926</v>
      </c>
      <c r="V4" s="4">
        <f t="shared" ref="V4:V36" si="13">U4/P4</f>
        <v>0.98090811821625246</v>
      </c>
      <c r="W4" s="4">
        <f t="shared" ref="W4:W36" si="14">POWER(V4*(1.9-0.9*V4),0.3)</f>
        <v>0.99932830234307368</v>
      </c>
      <c r="X4" s="3">
        <f t="shared" ref="X4:X36" si="15">0.6*A4*G4*E4*(1+0.5*SIN(N4*PI()/180)^1.5)*W4/1000</f>
        <v>19.362258726656389</v>
      </c>
      <c r="Y4" s="8">
        <f t="shared" ref="Y4:Y12" si="16">X4*COS(N4*PI()/180)</f>
        <v>16.987048630017043</v>
      </c>
      <c r="Z4" s="3">
        <f t="shared" ref="Z4:Z12" si="17">X4*SIN(N4*PI()/180)</f>
        <v>9.2917835661092347</v>
      </c>
      <c r="AA4" s="3">
        <f t="shared" ref="AA4:AA36" si="18">L4*X4</f>
        <v>4634.6122239538863</v>
      </c>
      <c r="AB4" s="3">
        <f>I3-(MAX(D3:D14)*E3*G3*G3/2+I3*G3*I3/2)/(MAX(D3:D14)*E3*G3+I3*G3)</f>
        <v>137.95952762989259</v>
      </c>
      <c r="AC4" s="3"/>
      <c r="AD4" s="15"/>
    </row>
    <row r="5" spans="1:30">
      <c r="A5" s="7">
        <f t="shared" si="3"/>
        <v>490</v>
      </c>
      <c r="B5" s="3">
        <f t="shared" si="3"/>
        <v>-45.997399999999999</v>
      </c>
      <c r="D5" s="1">
        <f t="shared" ref="D5:D12" si="19">D4+1</f>
        <v>3</v>
      </c>
      <c r="E5" s="2">
        <f t="shared" ref="E5:F20" si="20">E4</f>
        <v>10</v>
      </c>
      <c r="F5" s="2">
        <f t="shared" si="20"/>
        <v>7.9916200000000002</v>
      </c>
      <c r="G5" s="2">
        <f t="shared" si="4"/>
        <v>5.6509286946660371</v>
      </c>
      <c r="H5" s="20">
        <f t="shared" si="0"/>
        <v>58.870967741935488</v>
      </c>
      <c r="I5" s="2">
        <f t="shared" ref="I5:K12" si="21">I4</f>
        <v>210</v>
      </c>
      <c r="J5" s="20">
        <f t="shared" si="5"/>
        <v>104.86836774193549</v>
      </c>
      <c r="K5" s="2">
        <f t="shared" si="21"/>
        <v>210</v>
      </c>
      <c r="L5" s="2">
        <f t="shared" si="6"/>
        <v>234.72829942905864</v>
      </c>
      <c r="M5" s="2">
        <f t="shared" si="7"/>
        <v>0.49937317972350231</v>
      </c>
      <c r="N5" s="2">
        <f t="shared" si="8"/>
        <v>26.536312648845321</v>
      </c>
      <c r="P5" s="4">
        <f t="shared" si="9"/>
        <v>0.57154943232989452</v>
      </c>
      <c r="Q5" s="4">
        <f t="shared" si="10"/>
        <v>0.90328532150538232</v>
      </c>
      <c r="R5" s="4">
        <f t="shared" si="11"/>
        <v>3.8482165282264147E-3</v>
      </c>
      <c r="S5" s="4">
        <f t="shared" si="1"/>
        <v>0.4741123307808825</v>
      </c>
      <c r="T5" s="2">
        <f t="shared" si="2"/>
        <v>207.16447425069651</v>
      </c>
      <c r="U5" s="6">
        <f t="shared" si="12"/>
        <v>0.53719433095401836</v>
      </c>
      <c r="V5" s="4">
        <f t="shared" si="13"/>
        <v>0.9398912859805858</v>
      </c>
      <c r="W5" s="4">
        <f t="shared" si="14"/>
        <v>0.99721215687223053</v>
      </c>
      <c r="X5" s="3">
        <f t="shared" si="15"/>
        <v>19.041092706243941</v>
      </c>
      <c r="Y5" s="8">
        <f t="shared" si="16"/>
        <v>17.035140108957009</v>
      </c>
      <c r="Z5" s="3">
        <f t="shared" si="17"/>
        <v>8.5068920832452299</v>
      </c>
      <c r="AA5" s="3">
        <f t="shared" si="18"/>
        <v>4469.4833102076918</v>
      </c>
      <c r="AB5" s="3"/>
      <c r="AC5" s="3"/>
      <c r="AD5" s="15"/>
    </row>
    <row r="6" spans="1:30">
      <c r="A6" s="7">
        <f t="shared" si="3"/>
        <v>490</v>
      </c>
      <c r="B6" s="3">
        <f t="shared" si="3"/>
        <v>-45.997399999999999</v>
      </c>
      <c r="D6" s="1">
        <f t="shared" si="19"/>
        <v>4</v>
      </c>
      <c r="E6" s="2">
        <f t="shared" si="20"/>
        <v>10</v>
      </c>
      <c r="F6" s="2">
        <f t="shared" si="20"/>
        <v>7.9916200000000002</v>
      </c>
      <c r="G6" s="2">
        <f t="shared" si="4"/>
        <v>5.6509286946660371</v>
      </c>
      <c r="H6" s="20">
        <f t="shared" si="0"/>
        <v>48.870967741935488</v>
      </c>
      <c r="I6" s="2">
        <f t="shared" si="21"/>
        <v>210</v>
      </c>
      <c r="J6" s="20">
        <f t="shared" si="5"/>
        <v>94.868367741935486</v>
      </c>
      <c r="K6" s="2">
        <f t="shared" si="21"/>
        <v>210</v>
      </c>
      <c r="L6" s="2">
        <f t="shared" si="6"/>
        <v>230.43438805442887</v>
      </c>
      <c r="M6" s="2">
        <f t="shared" si="7"/>
        <v>0.4517541321044547</v>
      </c>
      <c r="N6" s="2">
        <f t="shared" si="8"/>
        <v>24.311269945102175</v>
      </c>
      <c r="P6" s="4">
        <f t="shared" si="9"/>
        <v>0.58659145454105466</v>
      </c>
      <c r="Q6" s="4">
        <f t="shared" si="10"/>
        <v>0.94584872593562885</v>
      </c>
      <c r="R6" s="4">
        <f t="shared" si="11"/>
        <v>4.1046335745349707E-3</v>
      </c>
      <c r="S6" s="4">
        <f t="shared" si="1"/>
        <v>0.4741123307808825</v>
      </c>
      <c r="T6" s="2">
        <f t="shared" si="2"/>
        <v>207.16447425069651</v>
      </c>
      <c r="U6" s="6">
        <f t="shared" si="12"/>
        <v>0.52736737419728852</v>
      </c>
      <c r="V6" s="4">
        <f t="shared" si="13"/>
        <v>0.89903691933237817</v>
      </c>
      <c r="W6" s="4">
        <f t="shared" si="14"/>
        <v>0.99417942741618259</v>
      </c>
      <c r="X6" s="3">
        <f t="shared" si="15"/>
        <v>18.698568743838937</v>
      </c>
      <c r="Y6" s="8">
        <f t="shared" si="16"/>
        <v>17.040422956658212</v>
      </c>
      <c r="Z6" s="3">
        <f t="shared" si="17"/>
        <v>7.6980814834779583</v>
      </c>
      <c r="AA6" s="3">
        <f t="shared" si="18"/>
        <v>4308.7932459801959</v>
      </c>
      <c r="AB6" s="3"/>
      <c r="AC6" s="3"/>
      <c r="AD6" s="15"/>
    </row>
    <row r="7" spans="1:30">
      <c r="A7" s="7">
        <f t="shared" si="3"/>
        <v>490</v>
      </c>
      <c r="B7" s="3">
        <f t="shared" si="3"/>
        <v>-45.997399999999999</v>
      </c>
      <c r="D7" s="1">
        <f t="shared" si="19"/>
        <v>5</v>
      </c>
      <c r="E7" s="2">
        <f t="shared" si="20"/>
        <v>10</v>
      </c>
      <c r="F7" s="2">
        <f t="shared" si="20"/>
        <v>7.9916200000000002</v>
      </c>
      <c r="G7" s="2">
        <f t="shared" si="4"/>
        <v>5.6509286946660371</v>
      </c>
      <c r="H7" s="20">
        <f t="shared" si="0"/>
        <v>38.870967741935488</v>
      </c>
      <c r="I7" s="2">
        <f t="shared" si="21"/>
        <v>210</v>
      </c>
      <c r="J7" s="20">
        <f t="shared" si="5"/>
        <v>84.868367741935486</v>
      </c>
      <c r="K7" s="2">
        <f t="shared" si="21"/>
        <v>210</v>
      </c>
      <c r="L7" s="2">
        <f t="shared" si="6"/>
        <v>226.50086057933731</v>
      </c>
      <c r="M7" s="2">
        <f t="shared" si="7"/>
        <v>0.40413508448540708</v>
      </c>
      <c r="N7" s="2">
        <f t="shared" si="8"/>
        <v>22.005361679832752</v>
      </c>
      <c r="P7" s="4">
        <f t="shared" si="9"/>
        <v>0.60406332662320328</v>
      </c>
      <c r="Q7" s="4">
        <f t="shared" si="10"/>
        <v>0.99576669932741302</v>
      </c>
      <c r="R7" s="4">
        <f t="shared" si="11"/>
        <v>4.396304264718774E-3</v>
      </c>
      <c r="S7" s="4">
        <f t="shared" si="1"/>
        <v>0.4741123307808825</v>
      </c>
      <c r="T7" s="2">
        <f t="shared" si="2"/>
        <v>207.16447425069651</v>
      </c>
      <c r="U7" s="6">
        <f t="shared" si="12"/>
        <v>0.5183651845788626</v>
      </c>
      <c r="V7" s="4">
        <f t="shared" si="13"/>
        <v>0.85813053322835364</v>
      </c>
      <c r="W7" s="4">
        <f t="shared" si="14"/>
        <v>0.99019803704632237</v>
      </c>
      <c r="X7" s="3">
        <f t="shared" si="15"/>
        <v>18.337454446788964</v>
      </c>
      <c r="Y7" s="8">
        <f t="shared" si="16"/>
        <v>17.001548797545631</v>
      </c>
      <c r="Z7" s="3">
        <f t="shared" si="17"/>
        <v>6.8709223596788744</v>
      </c>
      <c r="AA7" s="3">
        <f t="shared" si="18"/>
        <v>4153.4492130320959</v>
      </c>
      <c r="AB7" s="3"/>
      <c r="AC7" s="3"/>
      <c r="AD7" s="15"/>
    </row>
    <row r="8" spans="1:30">
      <c r="A8" s="7">
        <f t="shared" si="3"/>
        <v>490</v>
      </c>
      <c r="B8" s="3">
        <f t="shared" si="3"/>
        <v>-45.997399999999999</v>
      </c>
      <c r="D8" s="1">
        <f t="shared" si="19"/>
        <v>6</v>
      </c>
      <c r="E8" s="2">
        <f t="shared" si="20"/>
        <v>10</v>
      </c>
      <c r="F8" s="2">
        <f t="shared" si="20"/>
        <v>7.9916200000000002</v>
      </c>
      <c r="G8" s="2">
        <f t="shared" si="4"/>
        <v>5.6509286946660371</v>
      </c>
      <c r="H8" s="20">
        <f t="shared" si="0"/>
        <v>28.870967741935484</v>
      </c>
      <c r="I8" s="2">
        <f t="shared" si="21"/>
        <v>210</v>
      </c>
      <c r="J8" s="20">
        <f t="shared" si="5"/>
        <v>74.868367741935486</v>
      </c>
      <c r="K8" s="2">
        <f t="shared" si="21"/>
        <v>210</v>
      </c>
      <c r="L8" s="2">
        <f t="shared" si="6"/>
        <v>222.94679295370383</v>
      </c>
      <c r="M8" s="2">
        <f t="shared" si="7"/>
        <v>0.35651603686635946</v>
      </c>
      <c r="N8" s="2">
        <f t="shared" si="8"/>
        <v>19.621966267292621</v>
      </c>
      <c r="P8" s="4">
        <f t="shared" si="9"/>
        <v>0.62461822500786479</v>
      </c>
      <c r="Q8" s="4">
        <f t="shared" si="10"/>
        <v>1.0550335572422886</v>
      </c>
      <c r="R8" s="4">
        <f t="shared" si="11"/>
        <v>4.7322212769455368E-3</v>
      </c>
      <c r="S8" s="4">
        <f t="shared" si="1"/>
        <v>0.4741123307808825</v>
      </c>
      <c r="T8" s="2">
        <f t="shared" si="2"/>
        <v>207.16447425069651</v>
      </c>
      <c r="U8" s="6">
        <f t="shared" si="12"/>
        <v>0.51023141892316015</v>
      </c>
      <c r="V8" s="4">
        <f t="shared" si="13"/>
        <v>0.81686924667741745</v>
      </c>
      <c r="W8" s="4">
        <f t="shared" si="14"/>
        <v>0.98519715669537966</v>
      </c>
      <c r="X8" s="3">
        <f t="shared" si="15"/>
        <v>17.960397360827727</v>
      </c>
      <c r="Y8" s="8">
        <f t="shared" si="16"/>
        <v>16.917415118669297</v>
      </c>
      <c r="Z8" s="3">
        <f t="shared" si="17"/>
        <v>6.0313297921310092</v>
      </c>
      <c r="AA8" s="3">
        <f t="shared" si="18"/>
        <v>4004.212991770708</v>
      </c>
      <c r="AB8" s="3"/>
      <c r="AC8" s="3"/>
      <c r="AD8" s="15"/>
    </row>
    <row r="9" spans="1:30">
      <c r="A9" s="7">
        <f t="shared" si="3"/>
        <v>490</v>
      </c>
      <c r="B9" s="3">
        <f t="shared" si="3"/>
        <v>-45.997399999999999</v>
      </c>
      <c r="D9" s="1">
        <f t="shared" si="19"/>
        <v>7</v>
      </c>
      <c r="E9" s="2">
        <f t="shared" si="20"/>
        <v>10</v>
      </c>
      <c r="F9" s="2">
        <f t="shared" si="20"/>
        <v>7.9916200000000002</v>
      </c>
      <c r="G9" s="2">
        <f t="shared" si="4"/>
        <v>5.6509286946660371</v>
      </c>
      <c r="H9" s="20">
        <f t="shared" si="0"/>
        <v>18.870967741935484</v>
      </c>
      <c r="I9" s="2">
        <f t="shared" si="21"/>
        <v>210</v>
      </c>
      <c r="J9" s="20">
        <f t="shared" si="5"/>
        <v>64.868367741935486</v>
      </c>
      <c r="K9" s="2">
        <f t="shared" si="21"/>
        <v>210</v>
      </c>
      <c r="L9" s="2">
        <f t="shared" si="6"/>
        <v>219.79059382399188</v>
      </c>
      <c r="M9" s="2">
        <f t="shared" si="7"/>
        <v>0.30889698924731185</v>
      </c>
      <c r="N9" s="2">
        <f t="shared" si="8"/>
        <v>17.165761197477888</v>
      </c>
      <c r="P9" s="4">
        <f t="shared" si="9"/>
        <v>0.6491914149224367</v>
      </c>
      <c r="Q9" s="4">
        <f t="shared" si="10"/>
        <v>1.1264556439530218</v>
      </c>
      <c r="R9" s="4">
        <f t="shared" si="11"/>
        <v>5.1251312640571258E-3</v>
      </c>
      <c r="S9" s="4">
        <f t="shared" si="1"/>
        <v>0.4741123307808825</v>
      </c>
      <c r="T9" s="2">
        <f t="shared" si="2"/>
        <v>207.16447425069651</v>
      </c>
      <c r="U9" s="6">
        <f t="shared" si="12"/>
        <v>0.50300820687771319</v>
      </c>
      <c r="V9" s="4">
        <f t="shared" si="13"/>
        <v>0.77482264138969092</v>
      </c>
      <c r="W9" s="4">
        <f t="shared" si="14"/>
        <v>0.97904693021409883</v>
      </c>
      <c r="X9" s="3">
        <f t="shared" si="15"/>
        <v>17.569618354321708</v>
      </c>
      <c r="Y9" s="8">
        <f t="shared" si="16"/>
        <v>16.786977960313457</v>
      </c>
      <c r="Z9" s="3">
        <f t="shared" si="17"/>
        <v>5.185446950501805</v>
      </c>
      <c r="AA9" s="3">
        <f t="shared" si="18"/>
        <v>3861.6368513572752</v>
      </c>
      <c r="AB9" s="3"/>
      <c r="AC9" s="3"/>
      <c r="AD9" s="15"/>
    </row>
    <row r="10" spans="1:30">
      <c r="A10" s="7">
        <f t="shared" si="3"/>
        <v>490</v>
      </c>
      <c r="B10" s="3">
        <f t="shared" si="3"/>
        <v>-45.997399999999999</v>
      </c>
      <c r="D10" s="1">
        <f t="shared" si="19"/>
        <v>8</v>
      </c>
      <c r="E10" s="2">
        <f t="shared" si="20"/>
        <v>10</v>
      </c>
      <c r="F10" s="2">
        <f t="shared" si="20"/>
        <v>7.9916200000000002</v>
      </c>
      <c r="G10" s="2">
        <f t="shared" si="4"/>
        <v>5.6509286946660371</v>
      </c>
      <c r="H10" s="20">
        <f t="shared" si="0"/>
        <v>8.870967741935484</v>
      </c>
      <c r="I10" s="2">
        <f t="shared" si="21"/>
        <v>210</v>
      </c>
      <c r="J10" s="20">
        <f t="shared" si="5"/>
        <v>54.868367741935486</v>
      </c>
      <c r="K10" s="2">
        <f t="shared" si="21"/>
        <v>210</v>
      </c>
      <c r="L10" s="2">
        <f t="shared" si="6"/>
        <v>217.04962054485205</v>
      </c>
      <c r="M10" s="2">
        <f t="shared" si="7"/>
        <v>0.26127794162826423</v>
      </c>
      <c r="N10" s="2">
        <f t="shared" si="8"/>
        <v>14.642779185810038</v>
      </c>
      <c r="P10" s="4">
        <f t="shared" si="9"/>
        <v>0.67918617766805656</v>
      </c>
      <c r="Q10" s="4">
        <f t="shared" si="10"/>
        <v>1.2141296376644515</v>
      </c>
      <c r="R10" s="4">
        <f t="shared" si="11"/>
        <v>5.593788344880145E-3</v>
      </c>
      <c r="S10" s="4">
        <f t="shared" si="1"/>
        <v>0.4741123307808825</v>
      </c>
      <c r="T10" s="2">
        <f t="shared" si="2"/>
        <v>207.16447425069651</v>
      </c>
      <c r="U10" s="6">
        <f t="shared" si="12"/>
        <v>0.49673527212535545</v>
      </c>
      <c r="V10" s="4">
        <f t="shared" si="13"/>
        <v>0.73136834708689902</v>
      </c>
      <c r="W10" s="4">
        <f t="shared" si="14"/>
        <v>0.97152289243620626</v>
      </c>
      <c r="X10" s="3">
        <f t="shared" si="15"/>
        <v>17.166353290574765</v>
      </c>
      <c r="Y10" s="8">
        <f t="shared" si="16"/>
        <v>16.608802088533306</v>
      </c>
      <c r="Z10" s="3">
        <f t="shared" si="17"/>
        <v>4.3395136226031985</v>
      </c>
      <c r="AA10" s="3">
        <f t="shared" si="18"/>
        <v>3725.9504678581252</v>
      </c>
      <c r="AB10" s="3"/>
      <c r="AC10" s="3"/>
      <c r="AD10" s="15"/>
    </row>
    <row r="11" spans="1:30">
      <c r="A11" s="7">
        <f t="shared" si="3"/>
        <v>490</v>
      </c>
      <c r="B11" s="3">
        <f t="shared" si="3"/>
        <v>-45.997399999999999</v>
      </c>
      <c r="D11" s="1">
        <f t="shared" si="19"/>
        <v>9</v>
      </c>
      <c r="E11" s="2">
        <f t="shared" si="20"/>
        <v>10</v>
      </c>
      <c r="F11" s="2">
        <f t="shared" si="20"/>
        <v>7.9916200000000002</v>
      </c>
      <c r="G11" s="2">
        <f t="shared" si="4"/>
        <v>5.6509286946660371</v>
      </c>
      <c r="H11" s="20">
        <f t="shared" si="0"/>
        <v>-1.129032258064516</v>
      </c>
      <c r="I11" s="2">
        <f t="shared" si="21"/>
        <v>210</v>
      </c>
      <c r="J11" s="20">
        <f t="shared" si="5"/>
        <v>44.868367741935486</v>
      </c>
      <c r="K11" s="2">
        <f t="shared" si="21"/>
        <v>210</v>
      </c>
      <c r="L11" s="2">
        <f t="shared" si="6"/>
        <v>214.73977373515498</v>
      </c>
      <c r="M11" s="2">
        <f t="shared" si="7"/>
        <v>0.21365889400921662</v>
      </c>
      <c r="N11" s="2">
        <f t="shared" si="8"/>
        <v>12.060415233588639</v>
      </c>
      <c r="P11" s="4">
        <f t="shared" si="9"/>
        <v>0.71683913040476022</v>
      </c>
      <c r="Q11" s="4">
        <f t="shared" si="10"/>
        <v>1.324315139623379</v>
      </c>
      <c r="R11" s="4">
        <f t="shared" si="11"/>
        <v>6.1670696424254252E-3</v>
      </c>
      <c r="S11" s="4">
        <f t="shared" si="1"/>
        <v>0.4741123307808825</v>
      </c>
      <c r="T11" s="2">
        <f t="shared" si="2"/>
        <v>207.16447425069651</v>
      </c>
      <c r="U11" s="6">
        <f t="shared" si="12"/>
        <v>0.49144900449354606</v>
      </c>
      <c r="V11" s="4">
        <f t="shared" si="13"/>
        <v>0.68557781467098688</v>
      </c>
      <c r="W11" s="4">
        <f t="shared" si="14"/>
        <v>0.96223907544762588</v>
      </c>
      <c r="X11" s="3">
        <f t="shared" si="15"/>
        <v>16.7497975325273</v>
      </c>
      <c r="Y11" s="8">
        <f t="shared" si="16"/>
        <v>16.380093080329491</v>
      </c>
      <c r="Z11" s="3">
        <f t="shared" si="17"/>
        <v>3.4997525713112214</v>
      </c>
      <c r="AA11" s="3">
        <f t="shared" si="18"/>
        <v>3596.8477322445697</v>
      </c>
      <c r="AB11" s="3"/>
      <c r="AC11" s="3"/>
      <c r="AD11" s="15"/>
    </row>
    <row r="12" spans="1:30">
      <c r="A12" s="7">
        <f t="shared" si="3"/>
        <v>490</v>
      </c>
      <c r="B12" s="3">
        <f t="shared" si="3"/>
        <v>-45.997399999999999</v>
      </c>
      <c r="D12" s="1">
        <f t="shared" si="19"/>
        <v>10</v>
      </c>
      <c r="E12" s="2">
        <f t="shared" si="20"/>
        <v>10</v>
      </c>
      <c r="F12" s="2">
        <f t="shared" si="20"/>
        <v>7.9916200000000002</v>
      </c>
      <c r="G12" s="2">
        <f t="shared" si="4"/>
        <v>5.6509286946660371</v>
      </c>
      <c r="H12" s="20">
        <f t="shared" si="0"/>
        <v>-11.129032258064516</v>
      </c>
      <c r="I12" s="2">
        <f t="shared" si="21"/>
        <v>210</v>
      </c>
      <c r="J12" s="20">
        <f t="shared" si="5"/>
        <v>34.868367741935486</v>
      </c>
      <c r="K12" s="2">
        <f t="shared" si="21"/>
        <v>210</v>
      </c>
      <c r="L12" s="2">
        <f t="shared" si="6"/>
        <v>212.87508794827741</v>
      </c>
      <c r="M12" s="2">
        <f t="shared" si="7"/>
        <v>0.16603984639016897</v>
      </c>
      <c r="N12" s="2">
        <f t="shared" si="8"/>
        <v>9.4273751566303456</v>
      </c>
      <c r="P12" s="4">
        <f t="shared" si="9"/>
        <v>0.76601669657832783</v>
      </c>
      <c r="Q12" s="4">
        <f t="shared" si="10"/>
        <v>1.3585754000000001</v>
      </c>
      <c r="R12" s="4">
        <f t="shared" si="11"/>
        <v>6.3820309510810172E-3</v>
      </c>
      <c r="S12" s="4">
        <f t="shared" si="1"/>
        <v>0.4741123307808825</v>
      </c>
      <c r="T12" s="2">
        <f t="shared" si="2"/>
        <v>207.16447425069651</v>
      </c>
      <c r="U12" s="6">
        <f t="shared" si="12"/>
        <v>0.48718152317085239</v>
      </c>
      <c r="V12" s="4">
        <f t="shared" si="13"/>
        <v>0.63599334759544168</v>
      </c>
      <c r="W12" s="4">
        <f t="shared" si="14"/>
        <v>0.95050965485119332</v>
      </c>
      <c r="X12" s="3">
        <f t="shared" si="15"/>
        <v>16.314935387859794</v>
      </c>
      <c r="Y12" s="8">
        <f t="shared" si="16"/>
        <v>16.094586099633275</v>
      </c>
      <c r="Z12" s="3">
        <f t="shared" si="17"/>
        <v>2.6723426036964577</v>
      </c>
      <c r="AA12" s="3">
        <f t="shared" si="18"/>
        <v>3473.043305561117</v>
      </c>
      <c r="AB12" s="3"/>
      <c r="AC12" s="3"/>
      <c r="AD12" s="15"/>
    </row>
    <row r="13" spans="1:30">
      <c r="A13" s="7"/>
      <c r="B13" s="3"/>
      <c r="D13" s="1"/>
      <c r="E13" s="2"/>
      <c r="F13" s="2"/>
      <c r="G13" s="2"/>
      <c r="H13" s="20"/>
      <c r="I13" s="2"/>
      <c r="J13" s="20"/>
      <c r="K13" s="2"/>
      <c r="L13" s="2"/>
      <c r="M13" s="2"/>
      <c r="N13" s="2"/>
      <c r="P13" s="4"/>
      <c r="Q13" s="4"/>
      <c r="R13" s="4"/>
      <c r="S13" s="4"/>
      <c r="T13" s="2"/>
      <c r="U13" s="6"/>
      <c r="V13" s="4"/>
      <c r="W13" s="4"/>
      <c r="X13" s="3"/>
      <c r="Y13" s="8"/>
      <c r="Z13" s="3"/>
      <c r="AA13" s="3"/>
      <c r="AB13" s="3"/>
      <c r="AC13" s="3"/>
      <c r="AD13" s="15"/>
    </row>
    <row r="14" spans="1:30">
      <c r="A14" s="7"/>
      <c r="B14" s="3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P14" s="4"/>
      <c r="Q14" s="4"/>
      <c r="R14" s="4"/>
      <c r="S14" s="4"/>
      <c r="T14" s="2"/>
      <c r="U14" s="6"/>
      <c r="V14" s="4"/>
      <c r="W14" s="4"/>
      <c r="X14" s="3"/>
      <c r="Y14" s="8"/>
      <c r="Z14" s="3"/>
      <c r="AA14" s="3"/>
      <c r="AB14" s="3"/>
      <c r="AC14" s="3"/>
      <c r="AD14" s="15"/>
    </row>
    <row r="15" spans="1:30" ht="22.5" customHeight="1">
      <c r="A15" s="11" t="s">
        <v>28</v>
      </c>
      <c r="B15" s="11" t="s">
        <v>37</v>
      </c>
      <c r="C15" s="12"/>
      <c r="D15" s="13" t="s">
        <v>1</v>
      </c>
      <c r="E15" s="11" t="s">
        <v>21</v>
      </c>
      <c r="F15" s="13" t="s">
        <v>2</v>
      </c>
      <c r="G15" s="13" t="s">
        <v>3</v>
      </c>
      <c r="H15" s="13" t="s">
        <v>38</v>
      </c>
      <c r="I15" s="13" t="s">
        <v>39</v>
      </c>
      <c r="J15" s="11" t="s">
        <v>42</v>
      </c>
      <c r="K15" s="11" t="s">
        <v>43</v>
      </c>
      <c r="L15" s="11" t="s">
        <v>165</v>
      </c>
      <c r="M15" s="13" t="s">
        <v>19</v>
      </c>
      <c r="N15" s="13" t="s">
        <v>20</v>
      </c>
      <c r="O15" s="12"/>
      <c r="P15" s="14" t="s">
        <v>6</v>
      </c>
      <c r="Q15" s="14" t="s">
        <v>7</v>
      </c>
      <c r="R15" s="14" t="s">
        <v>8</v>
      </c>
      <c r="S15" s="14" t="s">
        <v>22</v>
      </c>
      <c r="T15" s="14" t="s">
        <v>23</v>
      </c>
      <c r="U15" s="14" t="s">
        <v>9</v>
      </c>
      <c r="V15" s="14" t="s">
        <v>10</v>
      </c>
      <c r="W15" s="14" t="s">
        <v>12</v>
      </c>
      <c r="X15" s="14" t="s">
        <v>13</v>
      </c>
      <c r="Y15" s="14" t="s">
        <v>14</v>
      </c>
      <c r="Z15" s="14" t="s">
        <v>15</v>
      </c>
      <c r="AA15" s="14" t="s">
        <v>16</v>
      </c>
      <c r="AB15" s="14" t="s">
        <v>41</v>
      </c>
      <c r="AC15" s="14" t="s">
        <v>29</v>
      </c>
      <c r="AD15" s="14" t="s">
        <v>27</v>
      </c>
    </row>
    <row r="16" spans="1:30" ht="22.5" customHeight="1">
      <c r="A16" s="11" t="s">
        <v>24</v>
      </c>
      <c r="B16" s="11" t="s">
        <v>4</v>
      </c>
      <c r="C16" s="12"/>
      <c r="D16" s="13" t="s">
        <v>0</v>
      </c>
      <c r="E16" s="13" t="s">
        <v>4</v>
      </c>
      <c r="F16" s="13" t="s">
        <v>4</v>
      </c>
      <c r="G16" s="13" t="s">
        <v>4</v>
      </c>
      <c r="H16" s="13" t="s">
        <v>4</v>
      </c>
      <c r="I16" s="13" t="s">
        <v>4</v>
      </c>
      <c r="J16" s="13" t="s">
        <v>4</v>
      </c>
      <c r="K16" s="13" t="s">
        <v>4</v>
      </c>
      <c r="L16" s="13" t="s">
        <v>4</v>
      </c>
      <c r="M16" s="13" t="s">
        <v>45</v>
      </c>
      <c r="N16" s="13" t="s">
        <v>5</v>
      </c>
      <c r="O16" s="12"/>
      <c r="P16" s="13" t="s">
        <v>4</v>
      </c>
      <c r="Q16" s="13" t="s">
        <v>4</v>
      </c>
      <c r="R16" s="13"/>
      <c r="S16" s="13" t="s">
        <v>4</v>
      </c>
      <c r="T16" s="13" t="s">
        <v>4</v>
      </c>
      <c r="U16" s="13" t="s">
        <v>4</v>
      </c>
      <c r="V16" s="14" t="s">
        <v>11</v>
      </c>
      <c r="W16" s="13"/>
      <c r="X16" s="13" t="s">
        <v>18</v>
      </c>
      <c r="Y16" s="13" t="s">
        <v>18</v>
      </c>
      <c r="Z16" s="13" t="s">
        <v>18</v>
      </c>
      <c r="AA16" s="13" t="s">
        <v>17</v>
      </c>
      <c r="AB16" s="14" t="s">
        <v>4</v>
      </c>
      <c r="AC16" s="14" t="s">
        <v>18</v>
      </c>
      <c r="AD16" s="13" t="s">
        <v>17</v>
      </c>
    </row>
    <row r="17" spans="1:30">
      <c r="A17" s="7">
        <f>A3</f>
        <v>490</v>
      </c>
      <c r="B17" s="3">
        <f>B3</f>
        <v>-45.997399999999999</v>
      </c>
      <c r="D17" s="1">
        <f>MAX(D3:D14)+1</f>
        <v>11</v>
      </c>
      <c r="E17" s="2">
        <f>E3</f>
        <v>10</v>
      </c>
      <c r="F17" s="2">
        <f>F3</f>
        <v>7.9916200000000002</v>
      </c>
      <c r="G17" s="2">
        <f t="shared" si="4"/>
        <v>5.6509286946660371</v>
      </c>
      <c r="H17" s="2">
        <f>-$AB$3</f>
        <v>-16.129032258064516</v>
      </c>
      <c r="I17" s="2">
        <f t="shared" ref="I17:I36" si="22">E17*(MAX($D$17:$D$59)-D17+0.5)</f>
        <v>205</v>
      </c>
      <c r="J17" s="20">
        <f t="shared" ref="J17:J36" si="23">H17-B17</f>
        <v>29.868367741935483</v>
      </c>
      <c r="K17" s="2">
        <f>I17</f>
        <v>205</v>
      </c>
      <c r="L17" s="2">
        <f t="shared" ref="L17:L36" si="24">SQRT(J17^2+K17^2)</f>
        <v>207.16447425069651</v>
      </c>
      <c r="M17" s="2">
        <f>IF(J17=0,"infinity",ABS(K17/J17))</f>
        <v>6.863448373584137</v>
      </c>
      <c r="N17" s="2">
        <f>IF(J17=0,90,ATAN(M17)*180/PI())</f>
        <v>81.710371719132908</v>
      </c>
      <c r="P17" s="4">
        <f>0.209 * (ABS(N17)+2)^-0.32 * F17</f>
        <v>0.40503424592149317</v>
      </c>
      <c r="Q17" s="4">
        <f t="shared" si="10"/>
        <v>0.4741123307808825</v>
      </c>
      <c r="R17" s="4">
        <f t="shared" si="11"/>
        <v>2.288579316003494E-3</v>
      </c>
      <c r="S17" s="4">
        <f t="shared" ref="S17:S37" si="25">INDEX($Q$3:$Q$59, MATCH(MIN($R$3:$R$59),$R$3:$R$59,0))</f>
        <v>0.4741123307808825</v>
      </c>
      <c r="T17" s="2">
        <f t="shared" ref="T17:T37" si="26">INDEX($L$3:$L$59, MATCH(MIN($R$3:$R$59),$R$3:$R$59,0))</f>
        <v>207.16447425069651</v>
      </c>
      <c r="U17" s="6">
        <f t="shared" si="12"/>
        <v>0.4741123307808825</v>
      </c>
      <c r="V17" s="4">
        <f t="shared" si="13"/>
        <v>1.1705487512598591</v>
      </c>
      <c r="W17" s="4">
        <f t="shared" si="14"/>
        <v>0.99725422074478898</v>
      </c>
      <c r="X17" s="3">
        <f t="shared" si="15"/>
        <v>24.722679877914569</v>
      </c>
      <c r="Y17" s="8">
        <f>X17*SIN(N17*PI()/180)</f>
        <v>24.464374952818183</v>
      </c>
      <c r="Z17" s="3">
        <f>X17*COS(N17*PI()/180)</f>
        <v>3.5644436471578986</v>
      </c>
      <c r="AA17" s="3">
        <f t="shared" si="18"/>
        <v>5121.6609789764452</v>
      </c>
      <c r="AB17" s="3">
        <f>AD17/AC18+MAX($D$3:$D$14)*E3-AB3</f>
        <v>408.71254828505931</v>
      </c>
      <c r="AC17" s="3">
        <f>stiffener_C_shaped_weld!F87</f>
        <v>363.44066699925537</v>
      </c>
      <c r="AD17" s="3">
        <f>stiffener_C_shaped_weld!F85*1000/2</f>
        <v>50881.693379895747</v>
      </c>
    </row>
    <row r="18" spans="1:30">
      <c r="A18" s="7">
        <f>A17</f>
        <v>490</v>
      </c>
      <c r="B18" s="3">
        <f>B17</f>
        <v>-45.997399999999999</v>
      </c>
      <c r="D18" s="1">
        <f>D17+1</f>
        <v>12</v>
      </c>
      <c r="E18" s="2">
        <f t="shared" si="20"/>
        <v>10</v>
      </c>
      <c r="F18" s="2">
        <f t="shared" si="20"/>
        <v>7.9916200000000002</v>
      </c>
      <c r="G18" s="2">
        <f t="shared" si="4"/>
        <v>5.6509286946660371</v>
      </c>
      <c r="H18" s="2">
        <f t="shared" ref="H18:H37" si="27">-$AB$3</f>
        <v>-16.129032258064516</v>
      </c>
      <c r="I18" s="2">
        <f t="shared" si="22"/>
        <v>195</v>
      </c>
      <c r="J18" s="20">
        <f t="shared" si="23"/>
        <v>29.868367741935483</v>
      </c>
      <c r="K18" s="2">
        <f t="shared" ref="K18:K36" si="28">I18</f>
        <v>195</v>
      </c>
      <c r="L18" s="2">
        <f t="shared" si="24"/>
        <v>197.27422383972899</v>
      </c>
      <c r="M18" s="2">
        <f t="shared" ref="M18:M36" si="29">IF(J18=0,"infinity",ABS(K18/J18))</f>
        <v>6.5286460138971059</v>
      </c>
      <c r="N18" s="2">
        <f t="shared" ref="N18:N36" si="30">IF(J18=0,90,ATAN(M18)*180/PI())</f>
        <v>81.291624088290348</v>
      </c>
      <c r="P18" s="4">
        <f t="shared" si="9"/>
        <v>0.40568475273145177</v>
      </c>
      <c r="Q18" s="4">
        <f t="shared" si="10"/>
        <v>0.47558943262733172</v>
      </c>
      <c r="R18" s="4">
        <f t="shared" si="11"/>
        <v>2.4108037196674701E-3</v>
      </c>
      <c r="S18" s="4">
        <f t="shared" si="25"/>
        <v>0.4741123307808825</v>
      </c>
      <c r="T18" s="2">
        <f t="shared" si="26"/>
        <v>207.16447425069651</v>
      </c>
      <c r="U18" s="6">
        <f t="shared" si="12"/>
        <v>0.45147770826024719</v>
      </c>
      <c r="V18" s="4">
        <f t="shared" si="13"/>
        <v>1.1128781775022949</v>
      </c>
      <c r="W18" s="4">
        <f t="shared" si="14"/>
        <v>0.99994614154277617</v>
      </c>
      <c r="X18" s="3">
        <f t="shared" si="15"/>
        <v>24.776030610547021</v>
      </c>
      <c r="Y18" s="8">
        <f t="shared" ref="Y18:Y36" si="31">X18*SIN(N18*PI()/180)</f>
        <v>24.49040667868384</v>
      </c>
      <c r="Z18" s="3">
        <f t="shared" ref="Z18:Z36" si="32">X18*COS(N18*PI()/180)</f>
        <v>3.7512229375819612</v>
      </c>
      <c r="AA18" s="3">
        <f t="shared" si="18"/>
        <v>4887.6722085250303</v>
      </c>
      <c r="AB18" s="3"/>
      <c r="AC18" s="17">
        <f>stiffener_C_shaped_weld!F86</f>
        <v>156.63540761876396</v>
      </c>
      <c r="AD18" s="3"/>
    </row>
    <row r="19" spans="1:30">
      <c r="A19" s="7">
        <f>A18</f>
        <v>490</v>
      </c>
      <c r="B19" s="3">
        <f>B18</f>
        <v>-45.997399999999999</v>
      </c>
      <c r="D19" s="1">
        <f t="shared" ref="D19:D37" si="33">D18+1</f>
        <v>13</v>
      </c>
      <c r="E19" s="2">
        <f t="shared" si="20"/>
        <v>10</v>
      </c>
      <c r="F19" s="2">
        <f t="shared" si="20"/>
        <v>7.9916200000000002</v>
      </c>
      <c r="G19" s="2">
        <f t="shared" si="4"/>
        <v>5.6509286946660371</v>
      </c>
      <c r="H19" s="2">
        <f t="shared" si="27"/>
        <v>-16.129032258064516</v>
      </c>
      <c r="I19" s="2">
        <f t="shared" si="22"/>
        <v>185</v>
      </c>
      <c r="J19" s="20">
        <f t="shared" si="23"/>
        <v>29.868367741935483</v>
      </c>
      <c r="K19" s="2">
        <f t="shared" si="28"/>
        <v>185</v>
      </c>
      <c r="L19" s="2">
        <f t="shared" si="24"/>
        <v>187.39562265850154</v>
      </c>
      <c r="M19" s="2">
        <f t="shared" si="29"/>
        <v>6.1938436542100748</v>
      </c>
      <c r="N19" s="2">
        <f t="shared" si="30"/>
        <v>80.828700765452496</v>
      </c>
      <c r="P19" s="4">
        <f t="shared" si="9"/>
        <v>0.40640892753181895</v>
      </c>
      <c r="Q19" s="4">
        <f t="shared" si="10"/>
        <v>0.47723602801337628</v>
      </c>
      <c r="R19" s="4">
        <f t="shared" si="11"/>
        <v>2.5466764977913193E-3</v>
      </c>
      <c r="S19" s="4">
        <f t="shared" si="25"/>
        <v>0.4741123307808825</v>
      </c>
      <c r="T19" s="2">
        <f t="shared" si="26"/>
        <v>207.16447425069651</v>
      </c>
      <c r="U19" s="6">
        <f t="shared" si="12"/>
        <v>0.42886974592584232</v>
      </c>
      <c r="V19" s="4">
        <f t="shared" si="13"/>
        <v>1.0552665477366139</v>
      </c>
      <c r="W19" s="4">
        <f t="shared" si="14"/>
        <v>1.0008325019129101</v>
      </c>
      <c r="X19" s="3">
        <f t="shared" si="15"/>
        <v>24.782430384268356</v>
      </c>
      <c r="Y19" s="8">
        <f t="shared" si="31"/>
        <v>24.465617478400851</v>
      </c>
      <c r="Z19" s="3">
        <f t="shared" si="32"/>
        <v>3.949989512856225</v>
      </c>
      <c r="AA19" s="3">
        <f t="shared" si="18"/>
        <v>4644.1189728509362</v>
      </c>
      <c r="AB19" s="14" t="s">
        <v>36</v>
      </c>
      <c r="AC19" s="3"/>
      <c r="AD19" s="3"/>
    </row>
    <row r="20" spans="1:30">
      <c r="A20" s="7">
        <f t="shared" ref="A20:B35" si="34">A19</f>
        <v>490</v>
      </c>
      <c r="B20" s="3">
        <f t="shared" si="34"/>
        <v>-45.997399999999999</v>
      </c>
      <c r="D20" s="1">
        <f t="shared" si="33"/>
        <v>14</v>
      </c>
      <c r="E20" s="2">
        <f t="shared" si="20"/>
        <v>10</v>
      </c>
      <c r="F20" s="2">
        <f t="shared" si="20"/>
        <v>7.9916200000000002</v>
      </c>
      <c r="G20" s="2">
        <f t="shared" si="4"/>
        <v>5.6509286946660371</v>
      </c>
      <c r="H20" s="2">
        <f t="shared" si="27"/>
        <v>-16.129032258064516</v>
      </c>
      <c r="I20" s="2">
        <f t="shared" si="22"/>
        <v>175</v>
      </c>
      <c r="J20" s="20">
        <f t="shared" si="23"/>
        <v>29.868367741935483</v>
      </c>
      <c r="K20" s="2">
        <f t="shared" si="28"/>
        <v>175</v>
      </c>
      <c r="L20" s="2">
        <f t="shared" si="24"/>
        <v>177.5306153641323</v>
      </c>
      <c r="M20" s="2">
        <f t="shared" si="29"/>
        <v>5.8590412945230437</v>
      </c>
      <c r="N20" s="2">
        <f t="shared" si="30"/>
        <v>80.314293307813628</v>
      </c>
      <c r="P20" s="4">
        <f t="shared" si="9"/>
        <v>0.40721993468957374</v>
      </c>
      <c r="Q20" s="4">
        <f t="shared" si="10"/>
        <v>0.47908282494810644</v>
      </c>
      <c r="R20" s="4">
        <f t="shared" si="11"/>
        <v>2.698592712955237E-3</v>
      </c>
      <c r="S20" s="4">
        <f t="shared" si="25"/>
        <v>0.4741123307808825</v>
      </c>
      <c r="T20" s="2">
        <f t="shared" si="26"/>
        <v>207.16447425069651</v>
      </c>
      <c r="U20" s="6">
        <f t="shared" si="12"/>
        <v>0.40629289427972526</v>
      </c>
      <c r="V20" s="4">
        <f t="shared" si="13"/>
        <v>0.99772348961610835</v>
      </c>
      <c r="W20" s="4">
        <f t="shared" si="14"/>
        <v>0.99993029974597325</v>
      </c>
      <c r="X20" s="3">
        <f t="shared" si="15"/>
        <v>24.741889696020305</v>
      </c>
      <c r="Y20" s="8">
        <f t="shared" si="31"/>
        <v>24.389205703605857</v>
      </c>
      <c r="Z20" s="3">
        <f t="shared" si="32"/>
        <v>4.1626615136514893</v>
      </c>
      <c r="AA20" s="3">
        <f t="shared" si="18"/>
        <v>4392.4429030059691</v>
      </c>
      <c r="AB20" s="14" t="s">
        <v>4</v>
      </c>
      <c r="AC20" s="3"/>
      <c r="AD20" s="3"/>
    </row>
    <row r="21" spans="1:30">
      <c r="A21" s="7">
        <f t="shared" si="34"/>
        <v>490</v>
      </c>
      <c r="B21" s="3">
        <f t="shared" si="34"/>
        <v>-45.997399999999999</v>
      </c>
      <c r="D21" s="1">
        <f t="shared" si="33"/>
        <v>15</v>
      </c>
      <c r="E21" s="2">
        <f t="shared" ref="E21:F37" si="35">E20</f>
        <v>10</v>
      </c>
      <c r="F21" s="2">
        <f t="shared" si="35"/>
        <v>7.9916200000000002</v>
      </c>
      <c r="G21" s="2">
        <f t="shared" si="4"/>
        <v>5.6509286946660371</v>
      </c>
      <c r="H21" s="2">
        <f t="shared" si="27"/>
        <v>-16.129032258064516</v>
      </c>
      <c r="I21" s="2">
        <f t="shared" si="22"/>
        <v>165</v>
      </c>
      <c r="J21" s="20">
        <f t="shared" si="23"/>
        <v>29.868367741935483</v>
      </c>
      <c r="K21" s="2">
        <f t="shared" si="28"/>
        <v>165</v>
      </c>
      <c r="L21" s="2">
        <f t="shared" si="24"/>
        <v>167.68160123152299</v>
      </c>
      <c r="M21" s="2">
        <f t="shared" si="29"/>
        <v>5.5242389348360126</v>
      </c>
      <c r="N21" s="2">
        <f t="shared" si="30"/>
        <v>79.739405976453128</v>
      </c>
      <c r="P21" s="4">
        <f t="shared" si="9"/>
        <v>0.40813424704248397</v>
      </c>
      <c r="Q21" s="4">
        <f t="shared" si="10"/>
        <v>0.48116836178969286</v>
      </c>
      <c r="R21" s="4">
        <f t="shared" si="11"/>
        <v>2.8695358241798354E-3</v>
      </c>
      <c r="S21" s="4">
        <f t="shared" si="25"/>
        <v>0.4741123307808825</v>
      </c>
      <c r="T21" s="2">
        <f t="shared" si="26"/>
        <v>207.16447425069651</v>
      </c>
      <c r="U21" s="6">
        <f t="shared" si="12"/>
        <v>0.38375264425280953</v>
      </c>
      <c r="V21" s="4">
        <f t="shared" si="13"/>
        <v>0.94026082602390271</v>
      </c>
      <c r="W21" s="4">
        <f t="shared" si="14"/>
        <v>0.99723535096502125</v>
      </c>
      <c r="X21" s="3">
        <f t="shared" si="15"/>
        <v>24.653778524134889</v>
      </c>
      <c r="Y21" s="8">
        <f t="shared" si="31"/>
        <v>24.259509848463473</v>
      </c>
      <c r="Z21" s="3">
        <f t="shared" si="32"/>
        <v>4.3914664326849255</v>
      </c>
      <c r="AA21" s="3">
        <f t="shared" si="18"/>
        <v>4133.9850593342717</v>
      </c>
      <c r="AB21" s="3">
        <f>AB17-B3</f>
        <v>454.70994828505934</v>
      </c>
      <c r="AC21" s="3"/>
      <c r="AD21" s="3"/>
    </row>
    <row r="22" spans="1:30" hidden="1">
      <c r="A22" s="7">
        <f t="shared" si="34"/>
        <v>490</v>
      </c>
      <c r="B22" s="3">
        <f t="shared" si="34"/>
        <v>-45.997399999999999</v>
      </c>
      <c r="D22" s="1">
        <f t="shared" si="33"/>
        <v>16</v>
      </c>
      <c r="E22" s="2">
        <f t="shared" si="35"/>
        <v>10</v>
      </c>
      <c r="F22" s="2">
        <f t="shared" si="35"/>
        <v>7.9916200000000002</v>
      </c>
      <c r="G22" s="2">
        <f t="shared" si="4"/>
        <v>5.6509286946660371</v>
      </c>
      <c r="H22" s="2">
        <f t="shared" si="27"/>
        <v>-16.129032258064516</v>
      </c>
      <c r="I22" s="2">
        <f t="shared" si="22"/>
        <v>155</v>
      </c>
      <c r="J22" s="20">
        <f t="shared" si="23"/>
        <v>29.868367741935483</v>
      </c>
      <c r="K22" s="2">
        <f t="shared" si="28"/>
        <v>155</v>
      </c>
      <c r="L22" s="2">
        <f t="shared" si="24"/>
        <v>157.85157392806539</v>
      </c>
      <c r="M22" s="2">
        <f t="shared" si="29"/>
        <v>5.1894365751489815</v>
      </c>
      <c r="N22" s="2">
        <f t="shared" si="30"/>
        <v>79.09284571238112</v>
      </c>
      <c r="P22" s="4">
        <f t="shared" si="9"/>
        <v>0.40917274542299387</v>
      </c>
      <c r="Q22" s="4">
        <f t="shared" si="10"/>
        <v>0.48354165001808952</v>
      </c>
      <c r="R22" s="4">
        <f t="shared" si="11"/>
        <v>3.0632678407023326E-3</v>
      </c>
      <c r="S22" s="4">
        <f t="shared" si="25"/>
        <v>0.4741123307808825</v>
      </c>
      <c r="T22" s="2">
        <f t="shared" si="26"/>
        <v>207.16447425069651</v>
      </c>
      <c r="U22" s="6">
        <f t="shared" si="12"/>
        <v>0.3612558470903669</v>
      </c>
      <c r="V22" s="4">
        <f t="shared" si="13"/>
        <v>0.88289323062538894</v>
      </c>
      <c r="W22" s="4">
        <f t="shared" si="14"/>
        <v>0.99272242765370311</v>
      </c>
      <c r="X22" s="3">
        <f t="shared" si="15"/>
        <v>24.516790367712687</v>
      </c>
      <c r="Y22" s="8">
        <f t="shared" si="31"/>
        <v>24.073896841391097</v>
      </c>
      <c r="Z22" s="3">
        <f t="shared" si="32"/>
        <v>4.6390193796134751</v>
      </c>
      <c r="AA22" s="3">
        <f t="shared" si="18"/>
        <v>3870.0139472078808</v>
      </c>
      <c r="AB22" s="3"/>
      <c r="AC22" s="3"/>
      <c r="AD22" s="3"/>
    </row>
    <row r="23" spans="1:30" hidden="1">
      <c r="A23" s="7">
        <f t="shared" si="34"/>
        <v>490</v>
      </c>
      <c r="B23" s="3">
        <f t="shared" si="34"/>
        <v>-45.997399999999999</v>
      </c>
      <c r="D23" s="1">
        <f t="shared" si="33"/>
        <v>17</v>
      </c>
      <c r="E23" s="2">
        <f t="shared" si="35"/>
        <v>10</v>
      </c>
      <c r="F23" s="2">
        <f t="shared" si="35"/>
        <v>7.9916200000000002</v>
      </c>
      <c r="G23" s="2">
        <f t="shared" si="4"/>
        <v>5.6509286946660371</v>
      </c>
      <c r="H23" s="2">
        <f t="shared" si="27"/>
        <v>-16.129032258064516</v>
      </c>
      <c r="I23" s="2">
        <f t="shared" si="22"/>
        <v>145</v>
      </c>
      <c r="J23" s="20">
        <f t="shared" si="23"/>
        <v>29.868367741935483</v>
      </c>
      <c r="K23" s="2">
        <f t="shared" si="28"/>
        <v>145</v>
      </c>
      <c r="L23" s="2">
        <f t="shared" si="24"/>
        <v>148.04431563409483</v>
      </c>
      <c r="M23" s="2">
        <f t="shared" si="29"/>
        <v>4.8546342154619504</v>
      </c>
      <c r="N23" s="2">
        <f t="shared" si="30"/>
        <v>78.360518294969552</v>
      </c>
      <c r="P23" s="4">
        <f t="shared" si="9"/>
        <v>0.4103622835550797</v>
      </c>
      <c r="Q23" s="4">
        <f t="shared" si="10"/>
        <v>0.4862659542318854</v>
      </c>
      <c r="R23" s="4">
        <f t="shared" si="11"/>
        <v>3.2845972650090566E-3</v>
      </c>
      <c r="S23" s="4">
        <f t="shared" si="25"/>
        <v>0.4741123307808825</v>
      </c>
      <c r="T23" s="2">
        <f t="shared" si="26"/>
        <v>207.16447425069651</v>
      </c>
      <c r="U23" s="6">
        <f t="shared" si="12"/>
        <v>0.33881115861208211</v>
      </c>
      <c r="V23" s="4">
        <f t="shared" si="13"/>
        <v>0.82563912959268382</v>
      </c>
      <c r="W23" s="4">
        <f t="shared" si="14"/>
        <v>0.98634447802760861</v>
      </c>
      <c r="X23" s="3">
        <f t="shared" si="15"/>
        <v>24.328866599271393</v>
      </c>
      <c r="Y23" s="8">
        <f t="shared" si="31"/>
        <v>23.828578907503292</v>
      </c>
      <c r="Z23" s="3">
        <f t="shared" si="32"/>
        <v>4.9084190177726619</v>
      </c>
      <c r="AA23" s="3">
        <f t="shared" si="18"/>
        <v>3601.7504058423215</v>
      </c>
      <c r="AB23" s="3"/>
      <c r="AC23" s="3"/>
      <c r="AD23" s="3"/>
    </row>
    <row r="24" spans="1:30" hidden="1">
      <c r="A24" s="7">
        <f t="shared" si="34"/>
        <v>490</v>
      </c>
      <c r="B24" s="3">
        <f t="shared" si="34"/>
        <v>-45.997399999999999</v>
      </c>
      <c r="D24" s="1">
        <f t="shared" si="33"/>
        <v>18</v>
      </c>
      <c r="E24" s="2">
        <f t="shared" si="35"/>
        <v>10</v>
      </c>
      <c r="F24" s="2">
        <f t="shared" si="35"/>
        <v>7.9916200000000002</v>
      </c>
      <c r="G24" s="2">
        <f t="shared" si="4"/>
        <v>5.6509286946660371</v>
      </c>
      <c r="H24" s="2">
        <f t="shared" si="27"/>
        <v>-16.129032258064516</v>
      </c>
      <c r="I24" s="2">
        <f t="shared" si="22"/>
        <v>135</v>
      </c>
      <c r="J24" s="20">
        <f t="shared" si="23"/>
        <v>29.868367741935483</v>
      </c>
      <c r="K24" s="2">
        <f t="shared" si="28"/>
        <v>135</v>
      </c>
      <c r="L24" s="2">
        <f t="shared" si="24"/>
        <v>138.26467152373917</v>
      </c>
      <c r="M24" s="2">
        <f t="shared" si="29"/>
        <v>4.5198318557749193</v>
      </c>
      <c r="N24" s="2">
        <f t="shared" si="30"/>
        <v>77.524440725668128</v>
      </c>
      <c r="P24" s="4">
        <f t="shared" si="9"/>
        <v>0.41173796307620703</v>
      </c>
      <c r="Q24" s="4">
        <f t="shared" si="10"/>
        <v>0.48942431828678246</v>
      </c>
      <c r="R24" s="4">
        <f t="shared" si="11"/>
        <v>3.5397640835732316E-3</v>
      </c>
      <c r="S24" s="4">
        <f t="shared" si="25"/>
        <v>0.4741123307808825</v>
      </c>
      <c r="T24" s="2">
        <f t="shared" si="26"/>
        <v>207.16447425069651</v>
      </c>
      <c r="U24" s="6">
        <f t="shared" si="12"/>
        <v>0.31642966738324679</v>
      </c>
      <c r="V24" s="4">
        <f t="shared" si="13"/>
        <v>0.76852196241297288</v>
      </c>
      <c r="W24" s="4">
        <f t="shared" si="14"/>
        <v>0.9780309032030734</v>
      </c>
      <c r="X24" s="3">
        <f t="shared" si="15"/>
        <v>24.087071879767901</v>
      </c>
      <c r="Y24" s="8">
        <f t="shared" si="31"/>
        <v>23.518333844306429</v>
      </c>
      <c r="Z24" s="3">
        <f t="shared" si="32"/>
        <v>5.203364769921123</v>
      </c>
      <c r="AA24" s="3">
        <f t="shared" si="18"/>
        <v>3330.3910814248034</v>
      </c>
      <c r="AB24" s="3"/>
      <c r="AC24" s="3"/>
      <c r="AD24" s="3"/>
    </row>
    <row r="25" spans="1:30" hidden="1">
      <c r="A25" s="7">
        <f t="shared" si="34"/>
        <v>490</v>
      </c>
      <c r="B25" s="3">
        <f t="shared" si="34"/>
        <v>-45.997399999999999</v>
      </c>
      <c r="D25" s="1">
        <f t="shared" si="33"/>
        <v>19</v>
      </c>
      <c r="E25" s="2">
        <f t="shared" si="35"/>
        <v>10</v>
      </c>
      <c r="F25" s="2">
        <f t="shared" si="35"/>
        <v>7.9916200000000002</v>
      </c>
      <c r="G25" s="2">
        <f t="shared" si="4"/>
        <v>5.6509286946660371</v>
      </c>
      <c r="H25" s="2">
        <f t="shared" si="27"/>
        <v>-16.129032258064516</v>
      </c>
      <c r="I25" s="2">
        <f t="shared" si="22"/>
        <v>125</v>
      </c>
      <c r="J25" s="20">
        <f t="shared" si="23"/>
        <v>29.868367741935483</v>
      </c>
      <c r="K25" s="2">
        <f t="shared" si="28"/>
        <v>125</v>
      </c>
      <c r="L25" s="2">
        <f t="shared" si="24"/>
        <v>128.51894565225584</v>
      </c>
      <c r="M25" s="2">
        <f t="shared" si="29"/>
        <v>4.1850294960878882</v>
      </c>
      <c r="N25" s="2">
        <f t="shared" si="30"/>
        <v>76.561330055599328</v>
      </c>
      <c r="P25" s="4">
        <f t="shared" si="9"/>
        <v>0.41334652074176642</v>
      </c>
      <c r="Q25" s="4">
        <f t="shared" si="10"/>
        <v>0.49312784560420519</v>
      </c>
      <c r="R25" s="4">
        <f t="shared" si="11"/>
        <v>3.8370050664631294E-3</v>
      </c>
      <c r="S25" s="4">
        <f t="shared" si="25"/>
        <v>0.4741123307808825</v>
      </c>
      <c r="T25" s="2">
        <f t="shared" si="26"/>
        <v>207.16447425069651</v>
      </c>
      <c r="U25" s="6">
        <f t="shared" si="12"/>
        <v>0.29412580073432987</v>
      </c>
      <c r="V25" s="4">
        <f t="shared" si="13"/>
        <v>0.7115719764775319</v>
      </c>
      <c r="W25" s="4">
        <f t="shared" si="14"/>
        <v>0.96768479636275295</v>
      </c>
      <c r="X25" s="3">
        <f t="shared" si="15"/>
        <v>23.787404468883363</v>
      </c>
      <c r="Y25" s="8">
        <f t="shared" si="31"/>
        <v>23.136087395673627</v>
      </c>
      <c r="Z25" s="3">
        <f t="shared" si="32"/>
        <v>5.5282973315483046</v>
      </c>
      <c r="AA25" s="3">
        <f t="shared" si="18"/>
        <v>3057.1321421446487</v>
      </c>
      <c r="AB25" s="3"/>
      <c r="AC25" s="3"/>
      <c r="AD25" s="3"/>
    </row>
    <row r="26" spans="1:30" hidden="1">
      <c r="A26" s="7">
        <f t="shared" si="34"/>
        <v>490</v>
      </c>
      <c r="B26" s="3">
        <f t="shared" si="34"/>
        <v>-45.997399999999999</v>
      </c>
      <c r="D26" s="1">
        <f t="shared" si="33"/>
        <v>20</v>
      </c>
      <c r="E26" s="2">
        <f t="shared" si="35"/>
        <v>10</v>
      </c>
      <c r="F26" s="2">
        <f t="shared" si="35"/>
        <v>7.9916200000000002</v>
      </c>
      <c r="G26" s="2">
        <f t="shared" si="4"/>
        <v>5.6509286946660371</v>
      </c>
      <c r="H26" s="2">
        <f t="shared" si="27"/>
        <v>-16.129032258064516</v>
      </c>
      <c r="I26" s="2">
        <f t="shared" si="22"/>
        <v>115</v>
      </c>
      <c r="J26" s="20">
        <f t="shared" si="23"/>
        <v>29.868367741935483</v>
      </c>
      <c r="K26" s="2">
        <f t="shared" si="28"/>
        <v>115</v>
      </c>
      <c r="L26" s="2">
        <f t="shared" si="24"/>
        <v>118.81548464559445</v>
      </c>
      <c r="M26" s="2">
        <f t="shared" si="29"/>
        <v>3.8502271364008576</v>
      </c>
      <c r="N26" s="2">
        <f t="shared" si="30"/>
        <v>75.440546832084351</v>
      </c>
      <c r="P26" s="4">
        <f t="shared" si="9"/>
        <v>0.41525150933728738</v>
      </c>
      <c r="Q26" s="4">
        <f t="shared" si="10"/>
        <v>0.49752845753202873</v>
      </c>
      <c r="R26" s="4">
        <f t="shared" si="11"/>
        <v>4.1874041840259122E-3</v>
      </c>
      <c r="S26" s="4">
        <f t="shared" si="25"/>
        <v>0.4741123307808825</v>
      </c>
      <c r="T26" s="2">
        <f t="shared" si="26"/>
        <v>207.16447425069651</v>
      </c>
      <c r="U26" s="6">
        <f t="shared" si="12"/>
        <v>0.27191866058083819</v>
      </c>
      <c r="V26" s="4">
        <f t="shared" si="13"/>
        <v>0.65482883136247116</v>
      </c>
      <c r="W26" s="4">
        <f t="shared" si="14"/>
        <v>0.95517898762575348</v>
      </c>
      <c r="X26" s="3">
        <f t="shared" si="15"/>
        <v>23.424514941942107</v>
      </c>
      <c r="Y26" s="8">
        <f t="shared" si="31"/>
        <v>22.672290790703986</v>
      </c>
      <c r="Z26" s="3">
        <f t="shared" si="32"/>
        <v>5.8885592946855994</v>
      </c>
      <c r="AA26" s="3">
        <f t="shared" si="18"/>
        <v>2783.1950954148201</v>
      </c>
      <c r="AB26" s="3"/>
      <c r="AC26" s="3"/>
      <c r="AD26" s="3"/>
    </row>
    <row r="27" spans="1:30" hidden="1">
      <c r="A27" s="7">
        <f t="shared" si="34"/>
        <v>490</v>
      </c>
      <c r="B27" s="3">
        <f t="shared" si="34"/>
        <v>-45.997399999999999</v>
      </c>
      <c r="D27" s="1">
        <f t="shared" si="33"/>
        <v>21</v>
      </c>
      <c r="E27" s="2">
        <f t="shared" si="35"/>
        <v>10</v>
      </c>
      <c r="F27" s="2">
        <f t="shared" si="35"/>
        <v>7.9916200000000002</v>
      </c>
      <c r="G27" s="2">
        <f t="shared" si="4"/>
        <v>5.6509286946660371</v>
      </c>
      <c r="H27" s="2">
        <f t="shared" si="27"/>
        <v>-16.129032258064516</v>
      </c>
      <c r="I27" s="2">
        <f t="shared" si="22"/>
        <v>105</v>
      </c>
      <c r="J27" s="20">
        <f t="shared" si="23"/>
        <v>29.868367741935483</v>
      </c>
      <c r="K27" s="2">
        <f t="shared" si="28"/>
        <v>105</v>
      </c>
      <c r="L27" s="2">
        <f t="shared" si="24"/>
        <v>109.16555954863921</v>
      </c>
      <c r="M27" s="2">
        <f t="shared" si="29"/>
        <v>3.5154247767138265</v>
      </c>
      <c r="N27" s="2">
        <f t="shared" si="30"/>
        <v>74.121033375378673</v>
      </c>
      <c r="P27" s="4">
        <f t="shared" si="9"/>
        <v>0.41754146924478147</v>
      </c>
      <c r="Q27" s="4">
        <f t="shared" si="10"/>
        <v>0.50283918850686504</v>
      </c>
      <c r="R27" s="4">
        <f t="shared" si="11"/>
        <v>4.6062072194373973E-3</v>
      </c>
      <c r="S27" s="4">
        <f t="shared" si="25"/>
        <v>0.4741123307808825</v>
      </c>
      <c r="T27" s="2">
        <f t="shared" si="26"/>
        <v>207.16447425069651</v>
      </c>
      <c r="U27" s="6">
        <f t="shared" si="12"/>
        <v>0.24983404160296344</v>
      </c>
      <c r="V27" s="4">
        <f t="shared" si="13"/>
        <v>0.59834545788911697</v>
      </c>
      <c r="W27" s="4">
        <f t="shared" si="14"/>
        <v>0.94035069320694209</v>
      </c>
      <c r="X27" s="3">
        <f t="shared" si="15"/>
        <v>22.991290618258958</v>
      </c>
      <c r="Y27" s="8">
        <f t="shared" si="31"/>
        <v>22.113984711831979</v>
      </c>
      <c r="Z27" s="3">
        <f t="shared" si="32"/>
        <v>6.2905583582146321</v>
      </c>
      <c r="AA27" s="3">
        <f t="shared" si="18"/>
        <v>2509.857105087618</v>
      </c>
      <c r="AB27" s="3"/>
      <c r="AC27" s="3"/>
      <c r="AD27" s="3"/>
    </row>
    <row r="28" spans="1:30" hidden="1">
      <c r="A28" s="7">
        <f t="shared" si="34"/>
        <v>490</v>
      </c>
      <c r="B28" s="3">
        <f t="shared" si="34"/>
        <v>-45.997399999999999</v>
      </c>
      <c r="D28" s="1">
        <f t="shared" si="33"/>
        <v>22</v>
      </c>
      <c r="E28" s="2">
        <f t="shared" si="35"/>
        <v>10</v>
      </c>
      <c r="F28" s="2">
        <f t="shared" si="35"/>
        <v>7.9916200000000002</v>
      </c>
      <c r="G28" s="2">
        <f t="shared" si="4"/>
        <v>5.6509286946660371</v>
      </c>
      <c r="H28" s="2">
        <f t="shared" si="27"/>
        <v>-16.129032258064516</v>
      </c>
      <c r="I28" s="2">
        <f t="shared" si="22"/>
        <v>95</v>
      </c>
      <c r="J28" s="20">
        <f t="shared" si="23"/>
        <v>29.868367741935483</v>
      </c>
      <c r="K28" s="2">
        <f t="shared" si="28"/>
        <v>95</v>
      </c>
      <c r="L28" s="2">
        <f t="shared" si="24"/>
        <v>99.58473473162185</v>
      </c>
      <c r="M28" s="2">
        <f t="shared" si="29"/>
        <v>3.1806224170267954</v>
      </c>
      <c r="N28" s="2">
        <f t="shared" si="30"/>
        <v>72.546650490744526</v>
      </c>
      <c r="P28" s="4">
        <f t="shared" si="9"/>
        <v>0.42034327936840166</v>
      </c>
      <c r="Q28" s="4">
        <f t="shared" si="10"/>
        <v>0.5093676785332597</v>
      </c>
      <c r="R28" s="4">
        <f t="shared" si="11"/>
        <v>5.1149172602205726E-3</v>
      </c>
      <c r="S28" s="4">
        <f t="shared" si="25"/>
        <v>0.4741123307808825</v>
      </c>
      <c r="T28" s="2">
        <f t="shared" si="26"/>
        <v>207.16447425069651</v>
      </c>
      <c r="U28" s="6">
        <f t="shared" si="12"/>
        <v>0.22790756409648455</v>
      </c>
      <c r="V28" s="4">
        <f t="shared" si="13"/>
        <v>0.54219390503622023</v>
      </c>
      <c r="W28" s="4">
        <f t="shared" si="14"/>
        <v>0.92299457828170495</v>
      </c>
      <c r="X28" s="3">
        <f t="shared" si="15"/>
        <v>22.478236940754709</v>
      </c>
      <c r="Y28" s="8">
        <f t="shared" si="31"/>
        <v>21.443371969877006</v>
      </c>
      <c r="Z28" s="3">
        <f t="shared" si="32"/>
        <v>6.7418791539305056</v>
      </c>
      <c r="AA28" s="3">
        <f t="shared" si="18"/>
        <v>2238.4892629796009</v>
      </c>
      <c r="AB28" s="3"/>
      <c r="AC28" s="3"/>
      <c r="AD28" s="3"/>
    </row>
    <row r="29" spans="1:30" hidden="1">
      <c r="A29" s="7">
        <f t="shared" si="34"/>
        <v>490</v>
      </c>
      <c r="B29" s="3">
        <f t="shared" si="34"/>
        <v>-45.997399999999999</v>
      </c>
      <c r="D29" s="1">
        <f t="shared" si="33"/>
        <v>23</v>
      </c>
      <c r="E29" s="2">
        <f t="shared" si="35"/>
        <v>10</v>
      </c>
      <c r="F29" s="2">
        <f t="shared" si="35"/>
        <v>7.9916200000000002</v>
      </c>
      <c r="G29" s="2">
        <f t="shared" si="4"/>
        <v>5.6509286946660371</v>
      </c>
      <c r="H29" s="2">
        <f t="shared" si="27"/>
        <v>-16.129032258064516</v>
      </c>
      <c r="I29" s="2">
        <f t="shared" si="22"/>
        <v>85</v>
      </c>
      <c r="J29" s="20">
        <f t="shared" si="23"/>
        <v>29.868367741935483</v>
      </c>
      <c r="K29" s="2">
        <f t="shared" si="28"/>
        <v>85</v>
      </c>
      <c r="L29" s="2">
        <f t="shared" si="24"/>
        <v>90.095057531295751</v>
      </c>
      <c r="M29" s="2">
        <f t="shared" si="29"/>
        <v>2.8458200573397643</v>
      </c>
      <c r="N29" s="2">
        <f t="shared" si="30"/>
        <v>70.638904127236984</v>
      </c>
      <c r="P29" s="4">
        <f t="shared" si="9"/>
        <v>0.4238448791916411</v>
      </c>
      <c r="Q29" s="4">
        <f t="shared" si="10"/>
        <v>0.51757385881486562</v>
      </c>
      <c r="R29" s="4">
        <f t="shared" si="11"/>
        <v>5.7447530752181303E-3</v>
      </c>
      <c r="S29" s="4">
        <f t="shared" si="25"/>
        <v>0.4741123307808825</v>
      </c>
      <c r="T29" s="2">
        <f t="shared" si="26"/>
        <v>207.16447425069651</v>
      </c>
      <c r="U29" s="6">
        <f t="shared" si="12"/>
        <v>0.20618968514026825</v>
      </c>
      <c r="V29" s="4">
        <f t="shared" si="13"/>
        <v>0.48647440434697281</v>
      </c>
      <c r="W29" s="4">
        <f t="shared" si="14"/>
        <v>0.90285421466620519</v>
      </c>
      <c r="X29" s="3">
        <f t="shared" si="15"/>
        <v>21.872545206470281</v>
      </c>
      <c r="Y29" s="8">
        <f t="shared" si="31"/>
        <v>20.635608583791257</v>
      </c>
      <c r="Z29" s="3">
        <f t="shared" si="32"/>
        <v>7.2511993618743258</v>
      </c>
      <c r="AA29" s="3">
        <f t="shared" si="18"/>
        <v>1970.608218732807</v>
      </c>
      <c r="AB29" s="3"/>
      <c r="AC29" s="3"/>
      <c r="AD29" s="3"/>
    </row>
    <row r="30" spans="1:30" hidden="1">
      <c r="A30" s="7">
        <f t="shared" si="34"/>
        <v>490</v>
      </c>
      <c r="B30" s="3">
        <f t="shared" si="34"/>
        <v>-45.997399999999999</v>
      </c>
      <c r="D30" s="1">
        <f t="shared" si="33"/>
        <v>24</v>
      </c>
      <c r="E30" s="2">
        <f t="shared" si="35"/>
        <v>10</v>
      </c>
      <c r="F30" s="2">
        <f t="shared" si="35"/>
        <v>7.9916200000000002</v>
      </c>
      <c r="G30" s="2">
        <f t="shared" si="4"/>
        <v>5.6509286946660371</v>
      </c>
      <c r="H30" s="2">
        <f t="shared" si="27"/>
        <v>-16.129032258064516</v>
      </c>
      <c r="I30" s="2">
        <f t="shared" si="22"/>
        <v>75</v>
      </c>
      <c r="J30" s="20">
        <f t="shared" si="23"/>
        <v>29.868367741935483</v>
      </c>
      <c r="K30" s="2">
        <f t="shared" si="28"/>
        <v>75</v>
      </c>
      <c r="L30" s="2">
        <f t="shared" si="24"/>
        <v>80.728677628012036</v>
      </c>
      <c r="M30" s="2">
        <f t="shared" si="29"/>
        <v>2.5110176976527332</v>
      </c>
      <c r="N30" s="2">
        <f t="shared" si="30"/>
        <v>68.285332286970558</v>
      </c>
      <c r="P30" s="4">
        <f t="shared" si="9"/>
        <v>0.42833583205655085</v>
      </c>
      <c r="Q30" s="4">
        <f t="shared" si="10"/>
        <v>0.52817443140021403</v>
      </c>
      <c r="R30" s="4">
        <f t="shared" si="11"/>
        <v>6.5425874288933331E-3</v>
      </c>
      <c r="S30" s="4">
        <f t="shared" si="25"/>
        <v>0.4741123307808825</v>
      </c>
      <c r="T30" s="2">
        <f t="shared" si="26"/>
        <v>207.16447425069651</v>
      </c>
      <c r="U30" s="6">
        <f t="shared" si="12"/>
        <v>0.18475398182778238</v>
      </c>
      <c r="V30" s="4">
        <f t="shared" si="13"/>
        <v>0.43132973709140993</v>
      </c>
      <c r="W30" s="4">
        <f t="shared" si="14"/>
        <v>0.87961251828994702</v>
      </c>
      <c r="X30" s="3">
        <f t="shared" si="15"/>
        <v>21.156672024313117</v>
      </c>
      <c r="Y30" s="8">
        <f t="shared" si="31"/>
        <v>19.655349851449781</v>
      </c>
      <c r="Z30" s="3">
        <f t="shared" si="32"/>
        <v>7.8276428994599883</v>
      </c>
      <c r="AA30" s="3">
        <f t="shared" si="18"/>
        <v>1707.9501555323545</v>
      </c>
      <c r="AB30" s="3"/>
      <c r="AC30" s="3"/>
      <c r="AD30" s="3"/>
    </row>
    <row r="31" spans="1:30" hidden="1">
      <c r="A31" s="7">
        <f t="shared" si="34"/>
        <v>490</v>
      </c>
      <c r="B31" s="3">
        <f t="shared" si="34"/>
        <v>-45.997399999999999</v>
      </c>
      <c r="D31" s="1">
        <f t="shared" si="33"/>
        <v>25</v>
      </c>
      <c r="E31" s="2">
        <f t="shared" si="35"/>
        <v>10</v>
      </c>
      <c r="F31" s="2">
        <f t="shared" si="35"/>
        <v>7.9916200000000002</v>
      </c>
      <c r="G31" s="2">
        <f t="shared" si="4"/>
        <v>5.6509286946660371</v>
      </c>
      <c r="H31" s="2">
        <f t="shared" si="27"/>
        <v>-16.129032258064516</v>
      </c>
      <c r="I31" s="2">
        <f t="shared" si="22"/>
        <v>65</v>
      </c>
      <c r="J31" s="20">
        <f t="shared" si="23"/>
        <v>29.868367741935483</v>
      </c>
      <c r="K31" s="2">
        <f t="shared" si="28"/>
        <v>65</v>
      </c>
      <c r="L31" s="2">
        <f t="shared" si="24"/>
        <v>71.534043584628236</v>
      </c>
      <c r="M31" s="2">
        <f t="shared" si="29"/>
        <v>2.1762153379657021</v>
      </c>
      <c r="N31" s="2">
        <f t="shared" si="30"/>
        <v>65.320587393070213</v>
      </c>
      <c r="P31" s="4">
        <f t="shared" si="9"/>
        <v>0.43428395499488132</v>
      </c>
      <c r="Q31" s="4">
        <f t="shared" si="10"/>
        <v>0.54234379634573759</v>
      </c>
      <c r="R31" s="4">
        <f t="shared" si="11"/>
        <v>7.5816180544039657E-3</v>
      </c>
      <c r="S31" s="4">
        <f t="shared" si="25"/>
        <v>0.4741123307808825</v>
      </c>
      <c r="T31" s="2">
        <f t="shared" si="26"/>
        <v>207.16447425069651</v>
      </c>
      <c r="U31" s="6">
        <f t="shared" si="12"/>
        <v>0.16371133253787262</v>
      </c>
      <c r="V31" s="4">
        <f t="shared" si="13"/>
        <v>0.37696841123177621</v>
      </c>
      <c r="W31" s="4">
        <f t="shared" si="14"/>
        <v>0.85288345607330462</v>
      </c>
      <c r="X31" s="3">
        <f t="shared" si="15"/>
        <v>20.306174483476255</v>
      </c>
      <c r="Y31" s="8">
        <f t="shared" si="31"/>
        <v>18.451373294233665</v>
      </c>
      <c r="Z31" s="3">
        <f t="shared" si="32"/>
        <v>8.4786523522445965</v>
      </c>
      <c r="AA31" s="3">
        <f t="shared" si="18"/>
        <v>1452.5827705380561</v>
      </c>
      <c r="AB31" s="3"/>
      <c r="AC31" s="3"/>
      <c r="AD31" s="3"/>
    </row>
    <row r="32" spans="1:30" hidden="1">
      <c r="A32" s="7">
        <f t="shared" si="34"/>
        <v>490</v>
      </c>
      <c r="B32" s="3">
        <f t="shared" si="34"/>
        <v>-45.997399999999999</v>
      </c>
      <c r="D32" s="1">
        <f t="shared" si="33"/>
        <v>26</v>
      </c>
      <c r="E32" s="2">
        <f t="shared" si="35"/>
        <v>10</v>
      </c>
      <c r="F32" s="2">
        <f t="shared" si="35"/>
        <v>7.9916200000000002</v>
      </c>
      <c r="G32" s="2">
        <f t="shared" si="4"/>
        <v>5.6509286946660371</v>
      </c>
      <c r="H32" s="2">
        <f t="shared" si="27"/>
        <v>-16.129032258064516</v>
      </c>
      <c r="I32" s="2">
        <f t="shared" si="22"/>
        <v>55</v>
      </c>
      <c r="J32" s="20">
        <f t="shared" si="23"/>
        <v>29.868367741935483</v>
      </c>
      <c r="K32" s="2">
        <f t="shared" si="28"/>
        <v>55</v>
      </c>
      <c r="L32" s="2">
        <f t="shared" si="24"/>
        <v>62.586894726991304</v>
      </c>
      <c r="M32" s="2">
        <f t="shared" si="29"/>
        <v>1.841412978278671</v>
      </c>
      <c r="N32" s="2">
        <f t="shared" si="30"/>
        <v>61.495330345724533</v>
      </c>
      <c r="P32" s="4">
        <f t="shared" si="9"/>
        <v>0.44249028425756398</v>
      </c>
      <c r="Q32" s="4">
        <f t="shared" si="10"/>
        <v>0.56212958958625558</v>
      </c>
      <c r="R32" s="4">
        <f t="shared" si="11"/>
        <v>8.9815861936960884E-3</v>
      </c>
      <c r="S32" s="4">
        <f t="shared" si="25"/>
        <v>0.4741123307808825</v>
      </c>
      <c r="T32" s="2">
        <f t="shared" si="26"/>
        <v>207.16447425069651</v>
      </c>
      <c r="U32" s="6">
        <f t="shared" si="12"/>
        <v>0.14323507272508046</v>
      </c>
      <c r="V32" s="4">
        <f t="shared" si="13"/>
        <v>0.32370218696532199</v>
      </c>
      <c r="W32" s="4">
        <f t="shared" si="14"/>
        <v>0.82221163756045457</v>
      </c>
      <c r="X32" s="3">
        <f t="shared" si="15"/>
        <v>19.286520402521916</v>
      </c>
      <c r="Y32" s="8">
        <f t="shared" si="31"/>
        <v>16.948574086728755</v>
      </c>
      <c r="Z32" s="3">
        <f t="shared" si="32"/>
        <v>9.2041135186155039</v>
      </c>
      <c r="AA32" s="3">
        <f t="shared" si="18"/>
        <v>1207.0834220826091</v>
      </c>
      <c r="AB32" s="3"/>
      <c r="AC32" s="3"/>
      <c r="AD32" s="3"/>
    </row>
    <row r="33" spans="1:30" hidden="1">
      <c r="A33" s="7">
        <f t="shared" si="34"/>
        <v>490</v>
      </c>
      <c r="B33" s="3">
        <f t="shared" si="34"/>
        <v>-45.997399999999999</v>
      </c>
      <c r="D33" s="1">
        <f t="shared" si="33"/>
        <v>27</v>
      </c>
      <c r="E33" s="2">
        <f t="shared" si="35"/>
        <v>10</v>
      </c>
      <c r="F33" s="2">
        <f t="shared" si="35"/>
        <v>7.9916200000000002</v>
      </c>
      <c r="G33" s="2">
        <f t="shared" si="4"/>
        <v>5.6509286946660371</v>
      </c>
      <c r="H33" s="2">
        <f t="shared" si="27"/>
        <v>-16.129032258064516</v>
      </c>
      <c r="I33" s="2">
        <f t="shared" si="22"/>
        <v>45</v>
      </c>
      <c r="J33" s="20">
        <f t="shared" si="23"/>
        <v>29.868367741935483</v>
      </c>
      <c r="K33" s="2">
        <f t="shared" si="28"/>
        <v>45</v>
      </c>
      <c r="L33" s="2">
        <f t="shared" si="24"/>
        <v>54.010363742225366</v>
      </c>
      <c r="M33" s="2">
        <f t="shared" si="29"/>
        <v>1.5066106185916399</v>
      </c>
      <c r="N33" s="2">
        <f t="shared" si="30"/>
        <v>56.426119527452023</v>
      </c>
      <c r="P33" s="4">
        <f t="shared" si="9"/>
        <v>0.45442985677703285</v>
      </c>
      <c r="Q33" s="4">
        <f t="shared" si="10"/>
        <v>0.59139309360835612</v>
      </c>
      <c r="R33" s="4">
        <f t="shared" si="11"/>
        <v>1.0949622491544235E-2</v>
      </c>
      <c r="S33" s="4">
        <f t="shared" si="25"/>
        <v>0.4741123307808825</v>
      </c>
      <c r="T33" s="2">
        <f t="shared" si="26"/>
        <v>207.16447425069651</v>
      </c>
      <c r="U33" s="6">
        <f t="shared" si="12"/>
        <v>0.12360700131028204</v>
      </c>
      <c r="V33" s="4">
        <f t="shared" si="13"/>
        <v>0.27200457775143533</v>
      </c>
      <c r="W33" s="4">
        <f t="shared" si="14"/>
        <v>0.78709595941404786</v>
      </c>
      <c r="X33" s="3">
        <f t="shared" si="15"/>
        <v>18.049021845924067</v>
      </c>
      <c r="Y33" s="8">
        <f t="shared" si="31"/>
        <v>15.037965434615273</v>
      </c>
      <c r="Z33" s="3">
        <f t="shared" si="32"/>
        <v>9.9813218153689682</v>
      </c>
      <c r="AA33" s="3">
        <f t="shared" si="18"/>
        <v>974.83423508973078</v>
      </c>
      <c r="AB33" s="3"/>
      <c r="AC33" s="3"/>
      <c r="AD33" s="3"/>
    </row>
    <row r="34" spans="1:30" hidden="1">
      <c r="A34" s="7">
        <f t="shared" si="34"/>
        <v>490</v>
      </c>
      <c r="B34" s="3">
        <f t="shared" si="34"/>
        <v>-45.997399999999999</v>
      </c>
      <c r="D34" s="1">
        <f t="shared" si="33"/>
        <v>28</v>
      </c>
      <c r="E34" s="2">
        <f t="shared" si="35"/>
        <v>10</v>
      </c>
      <c r="F34" s="2">
        <f t="shared" si="35"/>
        <v>7.9916200000000002</v>
      </c>
      <c r="G34" s="2">
        <f t="shared" si="4"/>
        <v>5.6509286946660371</v>
      </c>
      <c r="H34" s="2">
        <f t="shared" si="27"/>
        <v>-16.129032258064516</v>
      </c>
      <c r="I34" s="2">
        <f t="shared" si="22"/>
        <v>35</v>
      </c>
      <c r="J34" s="20">
        <f t="shared" si="23"/>
        <v>29.868367741935483</v>
      </c>
      <c r="K34" s="2">
        <f t="shared" si="28"/>
        <v>35</v>
      </c>
      <c r="L34" s="2">
        <f t="shared" si="24"/>
        <v>46.012165690907139</v>
      </c>
      <c r="M34" s="2">
        <f t="shared" si="29"/>
        <v>1.1718082589046088</v>
      </c>
      <c r="N34" s="2">
        <f t="shared" si="30"/>
        <v>49.523157162175707</v>
      </c>
      <c r="P34" s="4">
        <f t="shared" si="9"/>
        <v>0.47308624563075269</v>
      </c>
      <c r="Q34" s="4">
        <f t="shared" si="10"/>
        <v>0.63819907398125886</v>
      </c>
      <c r="R34" s="4">
        <f t="shared" si="11"/>
        <v>1.3870224632946997E-2</v>
      </c>
      <c r="S34" s="4">
        <f t="shared" si="25"/>
        <v>0.4741123307808825</v>
      </c>
      <c r="T34" s="2">
        <f t="shared" si="26"/>
        <v>207.16447425069651</v>
      </c>
      <c r="U34" s="6">
        <f t="shared" si="12"/>
        <v>0.1053024906847357</v>
      </c>
      <c r="V34" s="4">
        <f t="shared" si="13"/>
        <v>0.22258624438412666</v>
      </c>
      <c r="W34" s="4">
        <f t="shared" si="14"/>
        <v>0.74706615510592467</v>
      </c>
      <c r="X34" s="3">
        <f t="shared" si="15"/>
        <v>16.528635395616451</v>
      </c>
      <c r="Y34" s="8">
        <f t="shared" si="31"/>
        <v>12.572810476532267</v>
      </c>
      <c r="Z34" s="3">
        <f t="shared" si="32"/>
        <v>10.729409338934994</v>
      </c>
      <c r="AA34" s="3">
        <f t="shared" si="18"/>
        <v>760.51831046769667</v>
      </c>
      <c r="AB34" s="3"/>
      <c r="AC34" s="3"/>
      <c r="AD34" s="3"/>
    </row>
    <row r="35" spans="1:30" hidden="1">
      <c r="A35" s="7">
        <f t="shared" si="34"/>
        <v>490</v>
      </c>
      <c r="B35" s="3">
        <f t="shared" si="34"/>
        <v>-45.997399999999999</v>
      </c>
      <c r="D35" s="1">
        <f t="shared" si="33"/>
        <v>29</v>
      </c>
      <c r="E35" s="2">
        <f t="shared" si="35"/>
        <v>10</v>
      </c>
      <c r="F35" s="2">
        <f t="shared" si="35"/>
        <v>7.9916200000000002</v>
      </c>
      <c r="G35" s="2">
        <f t="shared" si="4"/>
        <v>5.6509286946660371</v>
      </c>
      <c r="H35" s="2">
        <f t="shared" si="27"/>
        <v>-16.129032258064516</v>
      </c>
      <c r="I35" s="2">
        <f t="shared" si="22"/>
        <v>25</v>
      </c>
      <c r="J35" s="20">
        <f t="shared" si="23"/>
        <v>29.868367741935483</v>
      </c>
      <c r="K35" s="2">
        <f t="shared" si="28"/>
        <v>25</v>
      </c>
      <c r="L35" s="2">
        <f t="shared" si="24"/>
        <v>38.950216835949604</v>
      </c>
      <c r="M35" s="2">
        <f t="shared" si="29"/>
        <v>0.83700589921757773</v>
      </c>
      <c r="N35" s="2">
        <f t="shared" si="30"/>
        <v>39.929530790321841</v>
      </c>
      <c r="P35" s="4">
        <f t="shared" si="9"/>
        <v>0.50532956782546457</v>
      </c>
      <c r="Q35" s="4">
        <f t="shared" si="10"/>
        <v>0.72194574897465258</v>
      </c>
      <c r="R35" s="4">
        <f t="shared" si="11"/>
        <v>1.8535089342771604E-2</v>
      </c>
      <c r="S35" s="4">
        <f t="shared" si="25"/>
        <v>0.4741123307808825</v>
      </c>
      <c r="T35" s="2">
        <f t="shared" si="26"/>
        <v>207.16447425069651</v>
      </c>
      <c r="U35" s="6">
        <f t="shared" si="12"/>
        <v>8.9140660604605321E-2</v>
      </c>
      <c r="V35" s="4">
        <f t="shared" si="13"/>
        <v>0.17640103860970502</v>
      </c>
      <c r="W35" s="4">
        <f t="shared" si="14"/>
        <v>0.70179110925219046</v>
      </c>
      <c r="X35" s="3">
        <f t="shared" si="15"/>
        <v>14.657082406302315</v>
      </c>
      <c r="Y35" s="8">
        <f t="shared" si="31"/>
        <v>9.4075743326635166</v>
      </c>
      <c r="Z35" s="3">
        <f t="shared" si="32"/>
        <v>11.239555589103487</v>
      </c>
      <c r="AA35" s="3">
        <f t="shared" si="18"/>
        <v>570.89653790785712</v>
      </c>
      <c r="AB35" s="3"/>
      <c r="AC35" s="3"/>
      <c r="AD35" s="3"/>
    </row>
    <row r="36" spans="1:30" hidden="1">
      <c r="A36" s="7">
        <f>A35</f>
        <v>490</v>
      </c>
      <c r="B36" s="3">
        <f>B35</f>
        <v>-45.997399999999999</v>
      </c>
      <c r="D36" s="1">
        <f t="shared" si="33"/>
        <v>30</v>
      </c>
      <c r="E36" s="2">
        <f t="shared" si="35"/>
        <v>10</v>
      </c>
      <c r="F36" s="2">
        <f t="shared" si="35"/>
        <v>7.9916200000000002</v>
      </c>
      <c r="G36" s="2">
        <f t="shared" si="4"/>
        <v>5.6509286946660371</v>
      </c>
      <c r="H36" s="2">
        <f t="shared" si="27"/>
        <v>-16.129032258064516</v>
      </c>
      <c r="I36" s="2">
        <f t="shared" si="22"/>
        <v>15</v>
      </c>
      <c r="J36" s="20">
        <f t="shared" si="23"/>
        <v>29.868367741935483</v>
      </c>
      <c r="K36" s="2">
        <f t="shared" si="28"/>
        <v>15</v>
      </c>
      <c r="L36" s="2">
        <f t="shared" si="24"/>
        <v>33.423336032890134</v>
      </c>
      <c r="M36" s="2">
        <f t="shared" si="29"/>
        <v>0.50220353953054664</v>
      </c>
      <c r="N36" s="2">
        <f t="shared" si="30"/>
        <v>26.665964937725903</v>
      </c>
      <c r="P36" s="4">
        <f t="shared" si="9"/>
        <v>0.57072094393990291</v>
      </c>
      <c r="Q36" s="4">
        <f t="shared" si="10"/>
        <v>0.90095334004304795</v>
      </c>
      <c r="R36" s="4">
        <f t="shared" si="11"/>
        <v>2.6955817311487624E-2</v>
      </c>
      <c r="S36" s="4">
        <f t="shared" si="25"/>
        <v>0.4741123307808825</v>
      </c>
      <c r="T36" s="2">
        <f t="shared" si="26"/>
        <v>207.16447425069651</v>
      </c>
      <c r="U36" s="6">
        <f t="shared" si="12"/>
        <v>7.6491955516706636E-2</v>
      </c>
      <c r="V36" s="4">
        <f t="shared" si="13"/>
        <v>0.13402689410459284</v>
      </c>
      <c r="W36" s="4">
        <f t="shared" si="14"/>
        <v>0.6504859036636631</v>
      </c>
      <c r="X36" s="3">
        <f t="shared" si="15"/>
        <v>12.431562987071093</v>
      </c>
      <c r="Y36" s="8">
        <f t="shared" si="31"/>
        <v>5.5791392164614493</v>
      </c>
      <c r="Z36" s="3">
        <f t="shared" si="32"/>
        <v>11.109318786714956</v>
      </c>
      <c r="AA36" s="3">
        <f t="shared" si="18"/>
        <v>415.50430713091657</v>
      </c>
      <c r="AB36" s="3"/>
      <c r="AC36" s="3"/>
      <c r="AD36" s="3"/>
    </row>
    <row r="37" spans="1:30" hidden="1">
      <c r="A37" s="7">
        <f>A36</f>
        <v>490</v>
      </c>
      <c r="B37" s="3">
        <f>B36</f>
        <v>-45.997399999999999</v>
      </c>
      <c r="D37" s="1">
        <f t="shared" si="33"/>
        <v>31</v>
      </c>
      <c r="E37" s="2">
        <f t="shared" si="35"/>
        <v>10</v>
      </c>
      <c r="F37" s="2">
        <f t="shared" si="35"/>
        <v>7.9916200000000002</v>
      </c>
      <c r="G37" s="2">
        <f>F37/SQRT(2)</f>
        <v>5.6509286946660371</v>
      </c>
      <c r="H37" s="2">
        <f t="shared" si="27"/>
        <v>-16.129032258064516</v>
      </c>
      <c r="I37" s="2">
        <f>E37*(MAX($D$17:$D$59)-D37+0.5)</f>
        <v>5</v>
      </c>
      <c r="J37" s="20">
        <f>H37-B37</f>
        <v>29.868367741935483</v>
      </c>
      <c r="K37" s="2">
        <f>I37</f>
        <v>5</v>
      </c>
      <c r="L37" s="2">
        <f>SQRT(J37^2+K37^2)</f>
        <v>30.283979123746143</v>
      </c>
      <c r="M37" s="2">
        <f>IF(J37=0,"infinity",ABS(K37/J37))</f>
        <v>0.16740117984351555</v>
      </c>
      <c r="N37" s="2">
        <f>IF(J37=0,90,ATAN(M37)*180/PI())</f>
        <v>9.5032644103957278</v>
      </c>
      <c r="P37" s="4">
        <f>0.209 * (N37+2)^-0.32 * F37</f>
        <v>0.76439591664057793</v>
      </c>
      <c r="Q37" s="4">
        <f>MIN(1.087*(N37+6)^-0.65 * F37, 0.17*F37)</f>
        <v>1.3585754000000001</v>
      </c>
      <c r="R37" s="4">
        <f>Q37/L37</f>
        <v>4.4861191934144472E-2</v>
      </c>
      <c r="S37" s="4">
        <f t="shared" si="25"/>
        <v>0.4741123307808825</v>
      </c>
      <c r="T37" s="2">
        <f t="shared" si="26"/>
        <v>207.16447425069651</v>
      </c>
      <c r="U37" s="6">
        <f>S37*L37/T37</f>
        <v>6.9307288228887043E-2</v>
      </c>
      <c r="V37" s="4">
        <f>U37/P37</f>
        <v>9.0669359581986894E-2</v>
      </c>
      <c r="W37" s="4">
        <f>POWER(V37*(1.9-0.9*V37),0.3)</f>
        <v>0.58229735531510263</v>
      </c>
      <c r="X37" s="3">
        <f>0.6*A37*G37*E37*(1+0.5*SIN(N37*PI()/180)^1.5)*W37/1000</f>
        <v>9.9986334021668988</v>
      </c>
      <c r="Y37" s="8">
        <f>X37*SIN(N37*PI()/180)</f>
        <v>1.6508123587905286</v>
      </c>
      <c r="Z37" s="3">
        <f>X37*COS(N37*PI()/180)</f>
        <v>9.861414121057491</v>
      </c>
      <c r="AA37" s="3">
        <f>L37*X37</f>
        <v>302.79840521721326</v>
      </c>
      <c r="AB37" s="3"/>
      <c r="AC37" s="3"/>
      <c r="AD37" s="3"/>
    </row>
    <row r="38" spans="1:30" hidden="1">
      <c r="A38" s="7"/>
      <c r="B38" s="3"/>
      <c r="D38" s="1"/>
      <c r="E38" s="2"/>
      <c r="F38" s="2"/>
      <c r="G38" s="2"/>
      <c r="H38" s="2"/>
      <c r="I38" s="2"/>
      <c r="J38" s="20"/>
      <c r="K38" s="2"/>
      <c r="L38" s="2"/>
      <c r="M38" s="2"/>
      <c r="N38" s="2"/>
      <c r="P38" s="4"/>
      <c r="Q38" s="4"/>
      <c r="R38" s="4"/>
      <c r="S38" s="4"/>
      <c r="T38" s="2"/>
      <c r="U38" s="6"/>
      <c r="V38" s="4"/>
      <c r="W38" s="4"/>
      <c r="X38" s="3"/>
      <c r="Y38" s="8"/>
      <c r="Z38" s="3"/>
      <c r="AA38" s="3"/>
      <c r="AB38" s="3"/>
      <c r="AC38" s="3"/>
      <c r="AD38" s="3"/>
    </row>
    <row r="39" spans="1:30" hidden="1">
      <c r="A39" s="7"/>
      <c r="B39" s="3"/>
      <c r="D39" s="1"/>
      <c r="E39" s="2"/>
      <c r="F39" s="2"/>
      <c r="G39" s="2"/>
      <c r="H39" s="2"/>
      <c r="I39" s="2"/>
      <c r="J39" s="20"/>
      <c r="K39" s="2"/>
      <c r="L39" s="2"/>
      <c r="M39" s="2"/>
      <c r="N39" s="2"/>
      <c r="P39" s="4"/>
      <c r="Q39" s="4"/>
      <c r="R39" s="4"/>
      <c r="S39" s="4"/>
      <c r="T39" s="2"/>
      <c r="U39" s="6"/>
      <c r="V39" s="4"/>
      <c r="W39" s="4"/>
      <c r="X39" s="3"/>
      <c r="Y39" s="8"/>
      <c r="Z39" s="3"/>
      <c r="AA39" s="3"/>
      <c r="AB39" s="3"/>
      <c r="AC39" s="3"/>
      <c r="AD39" s="3"/>
    </row>
    <row r="40" spans="1:30" hidden="1">
      <c r="A40" s="7"/>
      <c r="B40" s="3"/>
      <c r="D40" s="1"/>
      <c r="E40" s="2"/>
      <c r="F40" s="2"/>
      <c r="G40" s="2"/>
      <c r="H40" s="2"/>
      <c r="I40" s="2"/>
      <c r="J40" s="20"/>
      <c r="K40" s="2"/>
      <c r="L40" s="2"/>
      <c r="M40" s="2"/>
      <c r="N40" s="2"/>
      <c r="P40" s="4"/>
      <c r="Q40" s="4"/>
      <c r="R40" s="4"/>
      <c r="S40" s="4"/>
      <c r="T40" s="2"/>
      <c r="U40" s="6"/>
      <c r="V40" s="4"/>
      <c r="W40" s="4"/>
      <c r="X40" s="3"/>
      <c r="Y40" s="8"/>
      <c r="Z40" s="3"/>
      <c r="AA40" s="3"/>
      <c r="AB40" s="3"/>
      <c r="AC40" s="3"/>
      <c r="AD40" s="3"/>
    </row>
    <row r="41" spans="1:30" hidden="1">
      <c r="A41" s="7"/>
      <c r="B41" s="3"/>
      <c r="D41" s="1"/>
      <c r="E41" s="2"/>
      <c r="F41" s="2"/>
      <c r="G41" s="2"/>
      <c r="H41" s="2"/>
      <c r="I41" s="2"/>
      <c r="J41" s="20"/>
      <c r="K41" s="2"/>
      <c r="L41" s="2"/>
      <c r="M41" s="2"/>
      <c r="N41" s="2"/>
      <c r="P41" s="4"/>
      <c r="Q41" s="4"/>
      <c r="R41" s="4"/>
      <c r="S41" s="4"/>
      <c r="T41" s="2"/>
      <c r="U41" s="6"/>
      <c r="V41" s="4"/>
      <c r="W41" s="4"/>
      <c r="X41" s="3"/>
      <c r="Y41" s="8"/>
      <c r="Z41" s="3"/>
      <c r="AA41" s="3"/>
      <c r="AB41" s="3"/>
      <c r="AC41" s="3"/>
      <c r="AD41" s="3"/>
    </row>
    <row r="42" spans="1:30" hidden="1">
      <c r="A42" s="7"/>
      <c r="B42" s="3"/>
      <c r="D42" s="1"/>
      <c r="E42" s="2"/>
      <c r="F42" s="2"/>
      <c r="G42" s="2"/>
      <c r="H42" s="2"/>
      <c r="I42" s="2"/>
      <c r="J42" s="20"/>
      <c r="K42" s="2"/>
      <c r="L42" s="2"/>
      <c r="M42" s="2"/>
      <c r="N42" s="2"/>
      <c r="P42" s="4"/>
      <c r="Q42" s="4"/>
      <c r="R42" s="4"/>
      <c r="S42" s="4"/>
      <c r="T42" s="2"/>
      <c r="U42" s="6"/>
      <c r="V42" s="4"/>
      <c r="W42" s="4"/>
      <c r="X42" s="3"/>
      <c r="Y42" s="8"/>
      <c r="Z42" s="3"/>
      <c r="AA42" s="3"/>
      <c r="AB42" s="3"/>
      <c r="AC42" s="3"/>
      <c r="AD42" s="3"/>
    </row>
    <row r="43" spans="1:30" hidden="1">
      <c r="A43" s="7"/>
      <c r="B43" s="3"/>
      <c r="D43" s="1"/>
      <c r="E43" s="2"/>
      <c r="F43" s="2"/>
      <c r="G43" s="2"/>
      <c r="H43" s="2"/>
      <c r="I43" s="2"/>
      <c r="J43" s="20"/>
      <c r="K43" s="2"/>
      <c r="L43" s="2"/>
      <c r="M43" s="2"/>
      <c r="N43" s="2"/>
      <c r="P43" s="4"/>
      <c r="Q43" s="4"/>
      <c r="R43" s="4"/>
      <c r="S43" s="4"/>
      <c r="T43" s="2"/>
      <c r="U43" s="6"/>
      <c r="V43" s="4"/>
      <c r="W43" s="4"/>
      <c r="X43" s="3"/>
      <c r="Y43" s="8"/>
      <c r="Z43" s="3"/>
      <c r="AA43" s="3"/>
      <c r="AB43" s="3"/>
      <c r="AC43" s="3"/>
      <c r="AD43" s="3"/>
    </row>
    <row r="44" spans="1:30" hidden="1">
      <c r="A44" s="7"/>
      <c r="B44" s="3"/>
      <c r="D44" s="1"/>
      <c r="E44" s="2"/>
      <c r="F44" s="2"/>
      <c r="G44" s="2"/>
      <c r="H44" s="2"/>
      <c r="I44" s="2"/>
      <c r="J44" s="20"/>
      <c r="K44" s="2"/>
      <c r="L44" s="2"/>
      <c r="M44" s="2"/>
      <c r="N44" s="2"/>
      <c r="P44" s="4"/>
      <c r="Q44" s="4"/>
      <c r="R44" s="4"/>
      <c r="S44" s="4"/>
      <c r="T44" s="2"/>
      <c r="U44" s="6"/>
      <c r="V44" s="4"/>
      <c r="W44" s="4"/>
      <c r="X44" s="3"/>
      <c r="Y44" s="8"/>
      <c r="Z44" s="3"/>
      <c r="AA44" s="3"/>
      <c r="AB44" s="3"/>
      <c r="AC44" s="3"/>
      <c r="AD44" s="3"/>
    </row>
    <row r="45" spans="1:30" hidden="1">
      <c r="A45" s="7"/>
      <c r="B45" s="3"/>
      <c r="D45" s="1"/>
      <c r="E45" s="2"/>
      <c r="F45" s="2"/>
      <c r="G45" s="2"/>
      <c r="H45" s="2"/>
      <c r="I45" s="2"/>
      <c r="J45" s="20"/>
      <c r="K45" s="2"/>
      <c r="L45" s="2"/>
      <c r="M45" s="2"/>
      <c r="N45" s="2"/>
      <c r="P45" s="4"/>
      <c r="Q45" s="4"/>
      <c r="R45" s="4"/>
      <c r="S45" s="4"/>
      <c r="T45" s="2"/>
      <c r="U45" s="6"/>
      <c r="V45" s="4"/>
      <c r="W45" s="4"/>
      <c r="X45" s="3"/>
      <c r="Y45" s="8"/>
      <c r="Z45" s="3"/>
      <c r="AA45" s="3"/>
      <c r="AB45" s="3"/>
      <c r="AC45" s="3"/>
      <c r="AD45" s="3"/>
    </row>
    <row r="46" spans="1:30" hidden="1">
      <c r="A46" s="7"/>
      <c r="B46" s="3"/>
      <c r="D46" s="1"/>
      <c r="E46" s="2"/>
      <c r="F46" s="2"/>
      <c r="G46" s="2"/>
      <c r="H46" s="2"/>
      <c r="I46" s="2"/>
      <c r="J46" s="20"/>
      <c r="K46" s="2"/>
      <c r="L46" s="2"/>
      <c r="M46" s="2"/>
      <c r="N46" s="2"/>
      <c r="P46" s="4"/>
      <c r="Q46" s="4"/>
      <c r="R46" s="4"/>
      <c r="S46" s="4"/>
      <c r="T46" s="2"/>
      <c r="U46" s="6"/>
      <c r="V46" s="4"/>
      <c r="W46" s="4"/>
      <c r="X46" s="3"/>
      <c r="Y46" s="8"/>
      <c r="Z46" s="3"/>
      <c r="AA46" s="3"/>
      <c r="AB46" s="3"/>
      <c r="AC46" s="3"/>
      <c r="AD46" s="3"/>
    </row>
    <row r="47" spans="1:30" hidden="1">
      <c r="A47" s="7"/>
      <c r="B47" s="3"/>
      <c r="D47" s="1"/>
      <c r="E47" s="2"/>
      <c r="F47" s="2"/>
      <c r="G47" s="2"/>
      <c r="H47" s="2"/>
      <c r="I47" s="2"/>
      <c r="J47" s="20"/>
      <c r="K47" s="2"/>
      <c r="L47" s="2"/>
      <c r="M47" s="2"/>
      <c r="N47" s="2"/>
      <c r="P47" s="4"/>
      <c r="Q47" s="4"/>
      <c r="R47" s="4"/>
      <c r="S47" s="4"/>
      <c r="T47" s="2"/>
      <c r="U47" s="6"/>
      <c r="V47" s="4"/>
      <c r="W47" s="4"/>
      <c r="X47" s="3"/>
      <c r="Y47" s="8"/>
      <c r="Z47" s="3"/>
      <c r="AA47" s="3"/>
      <c r="AB47" s="3"/>
      <c r="AC47" s="3"/>
      <c r="AD47" s="3"/>
    </row>
    <row r="48" spans="1:30" hidden="1">
      <c r="A48" s="7"/>
      <c r="B48" s="3"/>
      <c r="D48" s="1"/>
      <c r="E48" s="2"/>
      <c r="F48" s="2"/>
      <c r="G48" s="2"/>
      <c r="H48" s="2"/>
      <c r="I48" s="2"/>
      <c r="J48" s="20"/>
      <c r="K48" s="2"/>
      <c r="L48" s="2"/>
      <c r="M48" s="2"/>
      <c r="N48" s="2"/>
      <c r="P48" s="4"/>
      <c r="Q48" s="4"/>
      <c r="R48" s="4"/>
      <c r="S48" s="4"/>
      <c r="T48" s="2"/>
      <c r="U48" s="6"/>
      <c r="V48" s="4"/>
      <c r="W48" s="4"/>
      <c r="X48" s="3"/>
      <c r="Y48" s="8"/>
      <c r="Z48" s="3"/>
      <c r="AA48" s="3"/>
      <c r="AB48" s="3"/>
      <c r="AC48" s="3"/>
      <c r="AD48" s="3"/>
    </row>
    <row r="49" spans="1:31" hidden="1">
      <c r="A49" s="7"/>
      <c r="B49" s="3"/>
      <c r="D49" s="1"/>
      <c r="E49" s="2"/>
      <c r="F49" s="2"/>
      <c r="G49" s="2"/>
      <c r="H49" s="2"/>
      <c r="I49" s="2"/>
      <c r="J49" s="20"/>
      <c r="K49" s="2"/>
      <c r="L49" s="2"/>
      <c r="M49" s="2"/>
      <c r="N49" s="2"/>
      <c r="P49" s="4"/>
      <c r="Q49" s="4"/>
      <c r="R49" s="4"/>
      <c r="S49" s="4"/>
      <c r="T49" s="2"/>
      <c r="U49" s="6"/>
      <c r="V49" s="4"/>
      <c r="W49" s="4"/>
      <c r="X49" s="3"/>
      <c r="Y49" s="8"/>
      <c r="Z49" s="3"/>
      <c r="AA49" s="3"/>
      <c r="AB49" s="3"/>
      <c r="AC49" s="3"/>
      <c r="AD49" s="3"/>
    </row>
    <row r="50" spans="1:31">
      <c r="A50" s="7"/>
      <c r="B50" s="3"/>
      <c r="D50" s="1"/>
      <c r="E50" s="2"/>
      <c r="F50" s="2"/>
      <c r="G50" s="2"/>
      <c r="H50" s="2"/>
      <c r="I50" s="2"/>
      <c r="J50" s="20"/>
      <c r="K50" s="2"/>
      <c r="L50" s="2"/>
      <c r="M50" s="2"/>
      <c r="N50" s="2"/>
      <c r="P50" s="4"/>
      <c r="Q50" s="4"/>
      <c r="R50" s="4"/>
      <c r="S50" s="4"/>
      <c r="T50" s="2"/>
      <c r="U50" s="6"/>
      <c r="V50" s="4"/>
      <c r="W50" s="4"/>
      <c r="X50" s="3"/>
      <c r="Y50" s="8"/>
      <c r="Z50" s="3"/>
      <c r="AA50" s="3"/>
      <c r="AB50" s="3"/>
      <c r="AC50" s="3"/>
      <c r="AD50" s="3"/>
    </row>
    <row r="51" spans="1:31">
      <c r="A51" s="7"/>
      <c r="B51" s="3"/>
      <c r="D51" s="1"/>
      <c r="E51" s="2"/>
      <c r="F51" s="2"/>
      <c r="G51" s="2"/>
      <c r="H51" s="2"/>
      <c r="I51" s="2"/>
      <c r="J51" s="20"/>
      <c r="K51" s="2"/>
      <c r="L51" s="2"/>
      <c r="M51" s="2"/>
      <c r="N51" s="2"/>
      <c r="P51" s="4"/>
      <c r="Q51" s="4"/>
      <c r="R51" s="4"/>
      <c r="S51" s="4"/>
      <c r="T51" s="2"/>
      <c r="U51" s="6"/>
      <c r="V51" s="4"/>
      <c r="W51" s="4"/>
      <c r="X51" s="3"/>
      <c r="Y51" s="8"/>
      <c r="Z51" s="3"/>
      <c r="AA51" s="3"/>
      <c r="AB51" s="3"/>
      <c r="AC51" s="3"/>
      <c r="AD51" s="3"/>
    </row>
    <row r="52" spans="1:31">
      <c r="A52" s="7"/>
      <c r="B52" s="3"/>
      <c r="D52" s="1"/>
      <c r="E52" s="2"/>
      <c r="F52" s="2"/>
      <c r="G52" s="2"/>
      <c r="H52" s="2"/>
      <c r="I52" s="2"/>
      <c r="J52" s="20"/>
      <c r="K52" s="2"/>
      <c r="L52" s="2"/>
      <c r="M52" s="2"/>
      <c r="N52" s="2"/>
      <c r="P52" s="4"/>
      <c r="Q52" s="4"/>
      <c r="R52" s="4"/>
      <c r="S52" s="4"/>
      <c r="T52" s="2"/>
      <c r="U52" s="6"/>
      <c r="V52" s="4"/>
      <c r="W52" s="4"/>
      <c r="X52" s="3"/>
      <c r="Y52" s="8"/>
      <c r="Z52" s="3"/>
      <c r="AA52" s="3"/>
      <c r="AB52" s="3"/>
      <c r="AC52" s="3"/>
      <c r="AD52" s="3"/>
    </row>
    <row r="53" spans="1:31">
      <c r="A53" s="7"/>
      <c r="B53" s="3"/>
      <c r="D53" s="1"/>
      <c r="E53" s="2"/>
      <c r="F53" s="2"/>
      <c r="G53" s="2"/>
      <c r="H53" s="2"/>
      <c r="I53" s="2"/>
      <c r="J53" s="20"/>
      <c r="K53" s="2"/>
      <c r="L53" s="2"/>
      <c r="M53" s="2"/>
      <c r="N53" s="2"/>
      <c r="P53" s="4"/>
      <c r="Q53" s="4"/>
      <c r="R53" s="4"/>
      <c r="S53" s="4"/>
      <c r="T53" s="2"/>
      <c r="U53" s="6"/>
      <c r="V53" s="4"/>
      <c r="W53" s="4"/>
      <c r="X53" s="3"/>
      <c r="Y53" s="8"/>
      <c r="Z53" s="3"/>
      <c r="AA53" s="3"/>
      <c r="AB53" s="3"/>
      <c r="AC53" s="3"/>
      <c r="AD53" s="3"/>
    </row>
    <row r="54" spans="1:31">
      <c r="A54" s="7"/>
      <c r="B54" s="3"/>
      <c r="D54" s="1"/>
      <c r="E54" s="2"/>
      <c r="F54" s="2"/>
      <c r="G54" s="2"/>
      <c r="H54" s="2"/>
      <c r="I54" s="2"/>
      <c r="J54" s="20"/>
      <c r="K54" s="2"/>
      <c r="L54" s="2"/>
      <c r="M54" s="2"/>
      <c r="N54" s="2"/>
      <c r="P54" s="4"/>
      <c r="Q54" s="4"/>
      <c r="R54" s="4"/>
      <c r="S54" s="4"/>
      <c r="T54" s="2"/>
      <c r="U54" s="6"/>
      <c r="V54" s="4"/>
      <c r="W54" s="4"/>
      <c r="X54" s="3"/>
      <c r="Y54" s="8"/>
      <c r="Z54" s="3"/>
      <c r="AA54" s="3"/>
      <c r="AB54" s="3"/>
      <c r="AC54" s="3"/>
      <c r="AD54" s="3"/>
    </row>
    <row r="55" spans="1:31">
      <c r="A55" s="7"/>
      <c r="B55" s="3"/>
      <c r="D55" s="1"/>
      <c r="E55" s="2"/>
      <c r="F55" s="2"/>
      <c r="G55" s="2"/>
      <c r="H55" s="2"/>
      <c r="I55" s="2"/>
      <c r="J55" s="20"/>
      <c r="K55" s="2"/>
      <c r="L55" s="2"/>
      <c r="M55" s="2"/>
      <c r="N55" s="2"/>
      <c r="P55" s="4"/>
      <c r="Q55" s="4"/>
      <c r="R55" s="4"/>
      <c r="S55" s="4"/>
      <c r="T55" s="2"/>
      <c r="U55" s="6"/>
      <c r="V55" s="4"/>
      <c r="W55" s="4"/>
      <c r="X55" s="3"/>
      <c r="Y55" s="8"/>
      <c r="Z55" s="3"/>
      <c r="AA55" s="3"/>
      <c r="AB55" s="3"/>
      <c r="AC55" s="3"/>
      <c r="AD55" s="3"/>
    </row>
    <row r="56" spans="1:31">
      <c r="A56" s="7"/>
      <c r="B56" s="3"/>
      <c r="D56" s="1"/>
      <c r="E56" s="2"/>
      <c r="F56" s="2"/>
      <c r="G56" s="2"/>
      <c r="H56" s="2"/>
      <c r="I56" s="2"/>
      <c r="J56" s="20"/>
      <c r="K56" s="2"/>
      <c r="L56" s="2"/>
      <c r="M56" s="2"/>
      <c r="N56" s="2"/>
      <c r="P56" s="4"/>
      <c r="Q56" s="4"/>
      <c r="R56" s="4"/>
      <c r="S56" s="4"/>
      <c r="T56" s="2"/>
      <c r="U56" s="6"/>
      <c r="V56" s="4"/>
      <c r="W56" s="4"/>
      <c r="X56" s="3"/>
      <c r="Y56" s="8"/>
      <c r="Z56" s="3"/>
      <c r="AA56" s="3"/>
      <c r="AB56" s="3"/>
      <c r="AC56" s="3"/>
      <c r="AD56" s="3"/>
    </row>
    <row r="57" spans="1:31">
      <c r="A57" s="7"/>
      <c r="B57" s="3"/>
      <c r="D57" s="1"/>
      <c r="E57" s="2"/>
      <c r="F57" s="2"/>
      <c r="G57" s="2"/>
      <c r="H57" s="2"/>
      <c r="I57" s="2"/>
      <c r="J57" s="20"/>
      <c r="K57" s="2"/>
      <c r="L57" s="2"/>
      <c r="M57" s="2"/>
      <c r="N57" s="2"/>
      <c r="P57" s="4"/>
      <c r="Q57" s="4"/>
      <c r="R57" s="4"/>
      <c r="S57" s="4"/>
      <c r="T57" s="2"/>
      <c r="U57" s="6"/>
      <c r="V57" s="4"/>
      <c r="W57" s="4"/>
      <c r="X57" s="3"/>
      <c r="Y57" s="8"/>
      <c r="Z57" s="3"/>
      <c r="AA57" s="3"/>
      <c r="AB57" s="3"/>
      <c r="AC57" s="3"/>
      <c r="AD57" s="3"/>
    </row>
    <row r="58" spans="1:31">
      <c r="A58" s="7"/>
      <c r="B58" s="3"/>
      <c r="D58" s="1"/>
      <c r="E58" s="2"/>
      <c r="F58" s="2"/>
      <c r="G58" s="2"/>
      <c r="H58" s="2"/>
      <c r="I58" s="2"/>
      <c r="J58" s="20"/>
      <c r="K58" s="2"/>
      <c r="L58" s="2"/>
      <c r="M58" s="2"/>
      <c r="N58" s="2"/>
      <c r="P58" s="4"/>
      <c r="Q58" s="4"/>
      <c r="R58" s="4"/>
      <c r="S58" s="4"/>
      <c r="T58" s="2"/>
      <c r="U58" s="6"/>
      <c r="V58" s="4"/>
      <c r="W58" s="4"/>
      <c r="X58" s="3"/>
      <c r="Y58" s="8"/>
      <c r="Z58" s="3"/>
      <c r="AA58" s="3"/>
      <c r="AB58" s="3"/>
      <c r="AC58" s="3"/>
      <c r="AD58" s="3"/>
    </row>
    <row r="59" spans="1:31">
      <c r="A59" s="7"/>
      <c r="B59" s="3"/>
      <c r="D59" s="1"/>
      <c r="E59" s="2"/>
      <c r="F59" s="2"/>
      <c r="G59" s="2"/>
      <c r="H59" s="2"/>
      <c r="I59" s="2"/>
      <c r="J59" s="20"/>
      <c r="K59" s="2"/>
      <c r="L59" s="2"/>
      <c r="M59" s="2"/>
      <c r="N59" s="2"/>
      <c r="P59" s="4"/>
      <c r="Q59" s="4"/>
      <c r="R59" s="4"/>
      <c r="S59" s="4"/>
      <c r="T59" s="2"/>
      <c r="U59" s="6"/>
      <c r="V59" s="4"/>
      <c r="W59" s="4"/>
      <c r="X59" s="3"/>
      <c r="Y59" s="8"/>
      <c r="Z59" s="3"/>
      <c r="AA59" s="3"/>
      <c r="AB59" s="3"/>
      <c r="AC59" s="3"/>
      <c r="AD59" s="3"/>
    </row>
    <row r="60" spans="1:31"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X60" s="14" t="s">
        <v>26</v>
      </c>
      <c r="Y60" s="9">
        <f>ABS(SUM(Y3:Y59))</f>
        <v>570.54469019541148</v>
      </c>
      <c r="Z60" s="19">
        <f>SUM(Z3:Z59)</f>
        <v>208.84618978698299</v>
      </c>
      <c r="AA60" s="10">
        <f>SUM(AA3:AA59)</f>
        <v>94964.679834989176</v>
      </c>
      <c r="AB60" s="3"/>
      <c r="AC60" s="3"/>
      <c r="AD60" s="3"/>
      <c r="AE60" s="15"/>
    </row>
    <row r="61" spans="1:31" ht="23.25" customHeight="1"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R61" s="5"/>
      <c r="X61" s="14" t="s">
        <v>25</v>
      </c>
      <c r="Y61" s="3">
        <f>0.75*Y60</f>
        <v>427.90851764655861</v>
      </c>
      <c r="Z61" s="17">
        <f>0.75*Z60</f>
        <v>156.63464234023724</v>
      </c>
      <c r="AA61" s="18">
        <f>AA60/AB21</f>
        <v>208.84671688655351</v>
      </c>
      <c r="AB61" s="16" t="str">
        <f>IF(ABS(Z60-AA61)&lt;0.1,"balanced ro = "&amp;B3, "NG")</f>
        <v>balanced ro = -45.9974</v>
      </c>
      <c r="AC61" s="3"/>
    </row>
    <row r="62" spans="1:31"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Z62" s="21"/>
    </row>
    <row r="63" spans="1:31"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</row>
  </sheetData>
  <phoneticPr fontId="1" type="noConversion"/>
  <conditionalFormatting sqref="R3:R14 R17:R31">
    <cfRule type="cellIs" dxfId="277" priority="17" operator="equal">
      <formula>#REF!</formula>
    </cfRule>
  </conditionalFormatting>
  <conditionalFormatting sqref="R3:R14 R17:R31 R59">
    <cfRule type="cellIs" dxfId="276" priority="14" operator="equal">
      <formula>MIN($R$3:$R$59)</formula>
    </cfRule>
    <cfRule type="cellIs" dxfId="275" priority="15" operator="equal">
      <formula>0.05292</formula>
    </cfRule>
    <cfRule type="cellIs" dxfId="274" priority="16" operator="equal">
      <formula>MIN($R$3:$R$59)</formula>
    </cfRule>
  </conditionalFormatting>
  <conditionalFormatting sqref="R3:R14 R17:R31 R59">
    <cfRule type="cellIs" dxfId="273" priority="13" operator="equal">
      <formula>MIN($R$3:$R$59)</formula>
    </cfRule>
  </conditionalFormatting>
  <conditionalFormatting sqref="R59 R32:R38">
    <cfRule type="cellIs" dxfId="272" priority="12" operator="equal">
      <formula>#REF!</formula>
    </cfRule>
  </conditionalFormatting>
  <conditionalFormatting sqref="R32:R38">
    <cfRule type="cellIs" dxfId="271" priority="9" operator="equal">
      <formula>MIN($R$3:$R$59)</formula>
    </cfRule>
    <cfRule type="cellIs" dxfId="270" priority="10" operator="equal">
      <formula>0.05292</formula>
    </cfRule>
    <cfRule type="cellIs" dxfId="269" priority="11" operator="equal">
      <formula>MIN($R$3:$R$59)</formula>
    </cfRule>
  </conditionalFormatting>
  <conditionalFormatting sqref="R32:R38">
    <cfRule type="cellIs" dxfId="268" priority="8" operator="equal">
      <formula>MIN($R$3:$R$59)</formula>
    </cfRule>
  </conditionalFormatting>
  <conditionalFormatting sqref="R39:R58">
    <cfRule type="cellIs" dxfId="267" priority="7" operator="equal">
      <formula>#REF!</formula>
    </cfRule>
  </conditionalFormatting>
  <conditionalFormatting sqref="R39:R58">
    <cfRule type="cellIs" dxfId="266" priority="4" operator="equal">
      <formula>MIN($R$3:$R$59)</formula>
    </cfRule>
    <cfRule type="cellIs" dxfId="265" priority="5" operator="equal">
      <formula>0.05292</formula>
    </cfRule>
    <cfRule type="cellIs" dxfId="264" priority="6" operator="equal">
      <formula>MIN($R$3:$R$59)</formula>
    </cfRule>
  </conditionalFormatting>
  <conditionalFormatting sqref="R39:R58">
    <cfRule type="cellIs" dxfId="263" priority="3" operator="equal">
      <formula>MIN($R$3:$R$59)</formula>
    </cfRule>
  </conditionalFormatting>
  <conditionalFormatting sqref="F3">
    <cfRule type="expression" dxfId="262" priority="2">
      <formula>ABS($Z$61-$AC$18)&lt;0.001</formula>
    </cfRule>
  </conditionalFormatting>
  <conditionalFormatting sqref="B3">
    <cfRule type="expression" dxfId="261" priority="1">
      <formula>ABS($Z$60-$AA$61)&lt;0.001</formula>
    </cfRule>
  </conditionalFormatting>
  <pageMargins left="0.7" right="0.7" top="0.75" bottom="0.75" header="0.3" footer="0.3"/>
  <pageSetup paperSize="9" orientation="portrait" r:id="rId1"/>
  <ignoredErrors>
    <ignoredError sqref="J4:J12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63"/>
  <sheetViews>
    <sheetView zoomScale="85" zoomScaleNormal="85" workbookViewId="0">
      <selection activeCell="L15" sqref="L15"/>
    </sheetView>
  </sheetViews>
  <sheetFormatPr defaultRowHeight="16.5"/>
  <cols>
    <col min="1" max="2" width="9" customWidth="1"/>
    <col min="3" max="3" width="2.375" customWidth="1"/>
    <col min="8" max="8" width="8.875" hidden="1" customWidth="1"/>
    <col min="9" max="9" width="0" hidden="1" customWidth="1"/>
    <col min="10" max="10" width="8.875" customWidth="1"/>
    <col min="15" max="15" width="2.375" customWidth="1"/>
    <col min="16" max="17" width="9.375" bestFit="1" customWidth="1"/>
    <col min="18" max="18" width="10.375" bestFit="1" customWidth="1"/>
    <col min="19" max="20" width="9.375" customWidth="1"/>
    <col min="21" max="23" width="9.375" bestFit="1" customWidth="1"/>
    <col min="24" max="26" width="10.25" customWidth="1"/>
    <col min="27" max="27" width="15" customWidth="1"/>
    <col min="28" max="28" width="10.25" customWidth="1"/>
    <col min="29" max="29" width="13.75" customWidth="1"/>
    <col min="30" max="30" width="13.625" bestFit="1" customWidth="1"/>
    <col min="31" max="31" width="13.375" bestFit="1" customWidth="1"/>
  </cols>
  <sheetData>
    <row r="1" spans="1:30" ht="22.5" customHeight="1">
      <c r="A1" s="11" t="s">
        <v>28</v>
      </c>
      <c r="B1" s="11" t="s">
        <v>37</v>
      </c>
      <c r="C1" s="12"/>
      <c r="D1" s="13" t="s">
        <v>1</v>
      </c>
      <c r="E1" s="11" t="s">
        <v>21</v>
      </c>
      <c r="F1" s="13" t="s">
        <v>2</v>
      </c>
      <c r="G1" s="13" t="s">
        <v>3</v>
      </c>
      <c r="H1" s="13" t="s">
        <v>38</v>
      </c>
      <c r="I1" s="13" t="s">
        <v>39</v>
      </c>
      <c r="J1" s="11" t="s">
        <v>42</v>
      </c>
      <c r="K1" s="11" t="s">
        <v>43</v>
      </c>
      <c r="L1" s="11" t="s">
        <v>165</v>
      </c>
      <c r="M1" s="13" t="s">
        <v>19</v>
      </c>
      <c r="N1" s="13" t="s">
        <v>20</v>
      </c>
      <c r="O1" s="12"/>
      <c r="P1" s="14" t="s">
        <v>6</v>
      </c>
      <c r="Q1" s="14" t="s">
        <v>7</v>
      </c>
      <c r="R1" s="14" t="s">
        <v>8</v>
      </c>
      <c r="S1" s="14" t="s">
        <v>22</v>
      </c>
      <c r="T1" s="14" t="s">
        <v>23</v>
      </c>
      <c r="U1" s="14" t="s">
        <v>9</v>
      </c>
      <c r="V1" s="14" t="s">
        <v>10</v>
      </c>
      <c r="W1" s="14" t="s">
        <v>12</v>
      </c>
      <c r="X1" s="14" t="s">
        <v>13</v>
      </c>
      <c r="Y1" s="14" t="s">
        <v>14</v>
      </c>
      <c r="Z1" s="14" t="s">
        <v>15</v>
      </c>
      <c r="AA1" s="14" t="s">
        <v>16</v>
      </c>
      <c r="AB1" s="14" t="s">
        <v>40</v>
      </c>
      <c r="AC1" s="15"/>
    </row>
    <row r="2" spans="1:30" ht="22.5" customHeight="1">
      <c r="A2" s="11" t="s">
        <v>24</v>
      </c>
      <c r="B2" s="11" t="s">
        <v>4</v>
      </c>
      <c r="C2" s="12"/>
      <c r="D2" s="13" t="s">
        <v>0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44</v>
      </c>
      <c r="N2" s="13" t="s">
        <v>5</v>
      </c>
      <c r="O2" s="12"/>
      <c r="P2" s="13" t="s">
        <v>4</v>
      </c>
      <c r="Q2" s="13" t="s">
        <v>4</v>
      </c>
      <c r="R2" s="13"/>
      <c r="S2" s="13" t="s">
        <v>4</v>
      </c>
      <c r="T2" s="13" t="s">
        <v>4</v>
      </c>
      <c r="U2" s="13" t="s">
        <v>4</v>
      </c>
      <c r="V2" s="14" t="s">
        <v>11</v>
      </c>
      <c r="W2" s="13"/>
      <c r="X2" s="13" t="s">
        <v>18</v>
      </c>
      <c r="Y2" s="13" t="s">
        <v>18</v>
      </c>
      <c r="Z2" s="13" t="s">
        <v>18</v>
      </c>
      <c r="AA2" s="13" t="s">
        <v>17</v>
      </c>
      <c r="AB2" s="14" t="s">
        <v>4</v>
      </c>
      <c r="AC2" s="15"/>
    </row>
    <row r="3" spans="1:30">
      <c r="A3" s="7">
        <f>stiffener_C_shaped_weld!G30</f>
        <v>490</v>
      </c>
      <c r="B3" s="3">
        <f>MAX($D$3:$D$14)*E3-AB3-233.482158</f>
        <v>-147.37104688888888</v>
      </c>
      <c r="D3" s="1">
        <v>1</v>
      </c>
      <c r="E3" s="2">
        <v>10</v>
      </c>
      <c r="F3" s="20">
        <v>10</v>
      </c>
      <c r="G3" s="2">
        <f>F3/SQRT(2)</f>
        <v>7.0710678118654746</v>
      </c>
      <c r="H3" s="20">
        <f t="shared" ref="H3:H12" si="0">(MAX($D$3:$D$14)-D3+0.5)*E3-$AB$3</f>
        <v>81.111111111111114</v>
      </c>
      <c r="I3" s="2">
        <f>(MAX(D17:D59)-MAX(D3:D14))*E17</f>
        <v>260</v>
      </c>
      <c r="J3" s="20">
        <f>H3-B3</f>
        <v>228.482158</v>
      </c>
      <c r="K3" s="2">
        <f>I3</f>
        <v>260</v>
      </c>
      <c r="L3" s="2">
        <f>SQRT(J3^2+K3^2)</f>
        <v>346.12728370403994</v>
      </c>
      <c r="M3" s="2">
        <f>ABS(J3/K3)</f>
        <v>0.87877753076923071</v>
      </c>
      <c r="N3" s="2">
        <f>ATAN(M3)*180/PI()</f>
        <v>41.308279470019407</v>
      </c>
      <c r="P3" s="4">
        <f>0.209 * (N3+2)^-0.32 * F3</f>
        <v>0.6258115702736784</v>
      </c>
      <c r="Q3" s="4">
        <f>MIN(1.087*(N3+6)^-0.65 * F3, 0.17*F3)</f>
        <v>0.88617683694961147</v>
      </c>
      <c r="R3" s="4">
        <f>Q3/L3</f>
        <v>2.5602628821001787E-3</v>
      </c>
      <c r="S3" s="4">
        <f t="shared" ref="S3:S12" si="1">INDEX($Q$3:$Q$59, MATCH(MIN($R$3:$R$59),$R$3:$R$59,0))</f>
        <v>0.69753801533875825</v>
      </c>
      <c r="T3" s="2">
        <f t="shared" ref="T3:T12" si="2">INDEX($L$3:$L$59, MATCH(MIN($R$3:$R$59),$R$3:$R$59,0))</f>
        <v>287.82370733547464</v>
      </c>
      <c r="U3" s="6">
        <f>S3*L3/T3</f>
        <v>0.83883617775829378</v>
      </c>
      <c r="V3" s="4">
        <f>U3/P3</f>
        <v>1.3403973617673064</v>
      </c>
      <c r="W3" s="4">
        <f>POWER(V3*(1.9-0.9*V3),0.3)</f>
        <v>0.97838718169106365</v>
      </c>
      <c r="X3" s="3">
        <f>0.6*A3*G3*E3*(1+0.5*SIN(N3*PI()/180)^1.5)*W3/1000</f>
        <v>25.793916177640867</v>
      </c>
      <c r="Y3" s="8">
        <f>X3*COS(N3*PI()/180)</f>
        <v>19.375583844239866</v>
      </c>
      <c r="Z3" s="3">
        <f>X3*SIN(N3*PI()/180)</f>
        <v>17.026827727853309</v>
      </c>
      <c r="AA3" s="3">
        <f>L3*X3</f>
        <v>8927.978142656526</v>
      </c>
      <c r="AB3" s="3">
        <f>(MAX(D3:D14)*E3*G3*MAX(D3:D14)*E3/2)/(MAX(D3:D14)*E3*G3+I3*G3)</f>
        <v>13.888888888888889</v>
      </c>
      <c r="AC3" s="3"/>
      <c r="AD3" s="15"/>
    </row>
    <row r="4" spans="1:30">
      <c r="A4" s="7">
        <f>A3</f>
        <v>490</v>
      </c>
      <c r="B4" s="3">
        <f t="shared" ref="A4:B19" si="3">B3</f>
        <v>-147.37104688888888</v>
      </c>
      <c r="D4" s="1">
        <f>D3+1</f>
        <v>2</v>
      </c>
      <c r="E4" s="2">
        <f>E3</f>
        <v>10</v>
      </c>
      <c r="F4" s="2">
        <f>F3</f>
        <v>10</v>
      </c>
      <c r="G4" s="2">
        <f t="shared" ref="G4:G38" si="4">F4/SQRT(2)</f>
        <v>7.0710678118654746</v>
      </c>
      <c r="H4" s="20">
        <f t="shared" si="0"/>
        <v>71.111111111111114</v>
      </c>
      <c r="I4" s="2">
        <f>I3</f>
        <v>260</v>
      </c>
      <c r="J4" s="20">
        <f t="shared" ref="J4:J12" si="5">H4-B4</f>
        <v>218.482158</v>
      </c>
      <c r="K4" s="2">
        <f>K3</f>
        <v>260</v>
      </c>
      <c r="L4" s="2">
        <f t="shared" ref="L4:L12" si="6">SQRT(J4^2+K4^2)</f>
        <v>339.60926572214862</v>
      </c>
      <c r="M4" s="2">
        <f t="shared" ref="M4:M12" si="7">ABS(J4/K4)</f>
        <v>0.84031599230769227</v>
      </c>
      <c r="N4" s="2">
        <f t="shared" ref="N4:N12" si="8">ATAN(M4)*180/PI()</f>
        <v>40.040872667897567</v>
      </c>
      <c r="P4" s="4">
        <f t="shared" ref="P4:P38" si="9">0.209 * (N4+2)^-0.32 * F4</f>
        <v>0.63178794496981994</v>
      </c>
      <c r="Q4" s="4">
        <f t="shared" ref="Q4:Q38" si="10">MIN(1.087*(N4+6)^-0.65 * F4, 0.17*F4)</f>
        <v>0.90195784168666604</v>
      </c>
      <c r="R4" s="4">
        <f t="shared" ref="R4:R38" si="11">Q4/L4</f>
        <v>2.6558693555334351E-3</v>
      </c>
      <c r="S4" s="4">
        <f t="shared" si="1"/>
        <v>0.69753801533875825</v>
      </c>
      <c r="T4" s="2">
        <f t="shared" si="2"/>
        <v>287.82370733547464</v>
      </c>
      <c r="U4" s="6">
        <f t="shared" ref="U4:U38" si="12">S4*L4/T4</f>
        <v>0.82303982321501945</v>
      </c>
      <c r="V4" s="4">
        <f t="shared" ref="V4:V38" si="13">U4/P4</f>
        <v>1.3027153014993591</v>
      </c>
      <c r="W4" s="4">
        <f t="shared" ref="W4:W38" si="14">POWER(V4*(1.9-0.9*V4),0.3)</f>
        <v>0.98404469234424941</v>
      </c>
      <c r="X4" s="3">
        <f t="shared" ref="X4:X38" si="15">0.6*A4*G4*E4*(1+0.5*SIN(N4*PI()/180)^1.5)*W4/1000</f>
        <v>25.735275136271401</v>
      </c>
      <c r="Y4" s="8">
        <f t="shared" ref="Y4:Y12" si="16">X4*COS(N4*PI()/180)</f>
        <v>19.702558825073247</v>
      </c>
      <c r="Z4" s="3">
        <f t="shared" ref="Z4:Z12" si="17">X4*SIN(N4*PI()/180)</f>
        <v>16.556375270092104</v>
      </c>
      <c r="AA4" s="3">
        <f t="shared" ref="AA4:AA38" si="18">L4*X4</f>
        <v>8739.9378921865991</v>
      </c>
      <c r="AB4" s="3">
        <f>I3-(MAX(D3:D14)*E3*G3*G3/2+I3*G3*I3/2)/(MAX(D3:D14)*E3*G3+I3*G3)</f>
        <v>165.12901835946312</v>
      </c>
      <c r="AC4" s="3"/>
      <c r="AD4" s="15"/>
    </row>
    <row r="5" spans="1:30">
      <c r="A5" s="7">
        <f t="shared" si="3"/>
        <v>490</v>
      </c>
      <c r="B5" s="3">
        <f t="shared" si="3"/>
        <v>-147.37104688888888</v>
      </c>
      <c r="D5" s="1">
        <f t="shared" ref="D5:D12" si="19">D4+1</f>
        <v>3</v>
      </c>
      <c r="E5" s="2">
        <f t="shared" ref="E5:F20" si="20">E4</f>
        <v>10</v>
      </c>
      <c r="F5" s="2">
        <f t="shared" si="20"/>
        <v>10</v>
      </c>
      <c r="G5" s="2">
        <f t="shared" si="4"/>
        <v>7.0710678118654746</v>
      </c>
      <c r="H5" s="20">
        <f t="shared" si="0"/>
        <v>61.111111111111114</v>
      </c>
      <c r="I5" s="2">
        <f t="shared" ref="I5:K12" si="21">I4</f>
        <v>260</v>
      </c>
      <c r="J5" s="20">
        <f t="shared" si="5"/>
        <v>208.482158</v>
      </c>
      <c r="K5" s="2">
        <f t="shared" si="21"/>
        <v>260</v>
      </c>
      <c r="L5" s="2">
        <f t="shared" si="6"/>
        <v>333.26387473642711</v>
      </c>
      <c r="M5" s="2">
        <f t="shared" si="7"/>
        <v>0.80185445384615384</v>
      </c>
      <c r="N5" s="2">
        <f t="shared" si="8"/>
        <v>38.724537707294814</v>
      </c>
      <c r="P5" s="4">
        <f t="shared" si="9"/>
        <v>0.63825219042939152</v>
      </c>
      <c r="Q5" s="4">
        <f t="shared" si="10"/>
        <v>0.91912533010059572</v>
      </c>
      <c r="R5" s="4">
        <f t="shared" si="11"/>
        <v>2.7579506804555902E-3</v>
      </c>
      <c r="S5" s="4">
        <f t="shared" si="1"/>
        <v>0.69753801533875825</v>
      </c>
      <c r="T5" s="2">
        <f t="shared" si="2"/>
        <v>287.82370733547464</v>
      </c>
      <c r="U5" s="6">
        <f t="shared" si="12"/>
        <v>0.80766182855396906</v>
      </c>
      <c r="V5" s="4">
        <f t="shared" si="13"/>
        <v>1.2654274292589662</v>
      </c>
      <c r="W5" s="4">
        <f t="shared" si="14"/>
        <v>0.98879511276171139</v>
      </c>
      <c r="X5" s="3">
        <f t="shared" si="15"/>
        <v>25.641454467375535</v>
      </c>
      <c r="Y5" s="8">
        <f t="shared" si="16"/>
        <v>20.004502938670697</v>
      </c>
      <c r="Z5" s="3">
        <f t="shared" si="17"/>
        <v>16.040699778351573</v>
      </c>
      <c r="AA5" s="3">
        <f t="shared" si="18"/>
        <v>8545.3704696752393</v>
      </c>
      <c r="AB5" s="3"/>
      <c r="AC5" s="3"/>
      <c r="AD5" s="15"/>
    </row>
    <row r="6" spans="1:30">
      <c r="A6" s="7">
        <f t="shared" si="3"/>
        <v>490</v>
      </c>
      <c r="B6" s="3">
        <f t="shared" si="3"/>
        <v>-147.37104688888888</v>
      </c>
      <c r="D6" s="1">
        <f t="shared" si="19"/>
        <v>4</v>
      </c>
      <c r="E6" s="2">
        <f t="shared" si="20"/>
        <v>10</v>
      </c>
      <c r="F6" s="2">
        <f t="shared" si="20"/>
        <v>10</v>
      </c>
      <c r="G6" s="2">
        <f t="shared" si="4"/>
        <v>7.0710678118654746</v>
      </c>
      <c r="H6" s="20">
        <f t="shared" si="0"/>
        <v>51.111111111111114</v>
      </c>
      <c r="I6" s="2">
        <f t="shared" si="21"/>
        <v>260</v>
      </c>
      <c r="J6" s="20">
        <f t="shared" si="5"/>
        <v>198.482158</v>
      </c>
      <c r="K6" s="2">
        <f t="shared" si="21"/>
        <v>260</v>
      </c>
      <c r="L6" s="2">
        <f t="shared" si="6"/>
        <v>327.10115720421561</v>
      </c>
      <c r="M6" s="2">
        <f t="shared" si="7"/>
        <v>0.7633929153846154</v>
      </c>
      <c r="N6" s="2">
        <f t="shared" si="8"/>
        <v>37.357857689846405</v>
      </c>
      <c r="P6" s="4">
        <f t="shared" si="9"/>
        <v>0.64526219591515455</v>
      </c>
      <c r="Q6" s="4">
        <f t="shared" si="10"/>
        <v>0.93785449433444301</v>
      </c>
      <c r="R6" s="4">
        <f t="shared" si="11"/>
        <v>2.867169600836729E-3</v>
      </c>
      <c r="S6" s="4">
        <f t="shared" si="1"/>
        <v>0.69753801533875825</v>
      </c>
      <c r="T6" s="2">
        <f t="shared" si="2"/>
        <v>287.82370733547464</v>
      </c>
      <c r="U6" s="6">
        <f t="shared" si="12"/>
        <v>0.79272654126888886</v>
      </c>
      <c r="V6" s="4">
        <f t="shared" si="13"/>
        <v>1.2285339917436049</v>
      </c>
      <c r="W6" s="4">
        <f t="shared" si="14"/>
        <v>0.99269241905487382</v>
      </c>
      <c r="X6" s="3">
        <f t="shared" si="15"/>
        <v>25.514285017104466</v>
      </c>
      <c r="Y6" s="8">
        <f t="shared" si="16"/>
        <v>20.280313775550496</v>
      </c>
      <c r="Z6" s="3">
        <f t="shared" si="17"/>
        <v>15.481847858032268</v>
      </c>
      <c r="AA6" s="3">
        <f t="shared" si="18"/>
        <v>8345.7521543330513</v>
      </c>
      <c r="AB6" s="3"/>
      <c r="AC6" s="3"/>
      <c r="AD6" s="15"/>
    </row>
    <row r="7" spans="1:30">
      <c r="A7" s="7">
        <f t="shared" si="3"/>
        <v>490</v>
      </c>
      <c r="B7" s="3">
        <f t="shared" si="3"/>
        <v>-147.37104688888888</v>
      </c>
      <c r="D7" s="1">
        <f t="shared" si="19"/>
        <v>5</v>
      </c>
      <c r="E7" s="2">
        <f t="shared" si="20"/>
        <v>10</v>
      </c>
      <c r="F7" s="2">
        <f t="shared" si="20"/>
        <v>10</v>
      </c>
      <c r="G7" s="2">
        <f t="shared" si="4"/>
        <v>7.0710678118654746</v>
      </c>
      <c r="H7" s="20">
        <f t="shared" si="0"/>
        <v>41.111111111111114</v>
      </c>
      <c r="I7" s="2">
        <f t="shared" si="21"/>
        <v>260</v>
      </c>
      <c r="J7" s="20">
        <f t="shared" si="5"/>
        <v>188.482158</v>
      </c>
      <c r="K7" s="2">
        <f t="shared" si="21"/>
        <v>260</v>
      </c>
      <c r="L7" s="2">
        <f t="shared" si="6"/>
        <v>321.13163015239866</v>
      </c>
      <c r="M7" s="2">
        <f t="shared" si="7"/>
        <v>0.72493137692307696</v>
      </c>
      <c r="N7" s="2">
        <f t="shared" si="8"/>
        <v>35.9395346057334</v>
      </c>
      <c r="P7" s="4">
        <f t="shared" si="9"/>
        <v>0.65288523382515073</v>
      </c>
      <c r="Q7" s="4">
        <f t="shared" si="10"/>
        <v>0.9583501156874431</v>
      </c>
      <c r="R7" s="4">
        <f t="shared" si="11"/>
        <v>2.9842906325753126E-3</v>
      </c>
      <c r="S7" s="4">
        <f t="shared" si="1"/>
        <v>0.69753801533875825</v>
      </c>
      <c r="T7" s="2">
        <f t="shared" si="2"/>
        <v>287.82370733547464</v>
      </c>
      <c r="U7" s="6">
        <f t="shared" si="12"/>
        <v>0.77825944927433655</v>
      </c>
      <c r="V7" s="4">
        <f t="shared" si="13"/>
        <v>1.1920310170206152</v>
      </c>
      <c r="W7" s="4">
        <f t="shared" si="14"/>
        <v>0.99578373353654659</v>
      </c>
      <c r="X7" s="3">
        <f t="shared" si="15"/>
        <v>25.355520507690809</v>
      </c>
      <c r="Y7" s="8">
        <f t="shared" si="16"/>
        <v>20.528763637736507</v>
      </c>
      <c r="Z7" s="3">
        <f t="shared" si="17"/>
        <v>14.881944890432719</v>
      </c>
      <c r="AA7" s="3">
        <f t="shared" si="18"/>
        <v>8142.4596339973241</v>
      </c>
      <c r="AB7" s="3"/>
      <c r="AC7" s="3"/>
      <c r="AD7" s="15"/>
    </row>
    <row r="8" spans="1:30">
      <c r="A8" s="7">
        <f t="shared" si="3"/>
        <v>490</v>
      </c>
      <c r="B8" s="3">
        <f t="shared" si="3"/>
        <v>-147.37104688888888</v>
      </c>
      <c r="D8" s="1">
        <f t="shared" si="19"/>
        <v>6</v>
      </c>
      <c r="E8" s="2">
        <f t="shared" si="20"/>
        <v>10</v>
      </c>
      <c r="F8" s="2">
        <f t="shared" si="20"/>
        <v>10</v>
      </c>
      <c r="G8" s="2">
        <f t="shared" si="4"/>
        <v>7.0710678118654746</v>
      </c>
      <c r="H8" s="20">
        <f t="shared" si="0"/>
        <v>31.111111111111111</v>
      </c>
      <c r="I8" s="2">
        <f t="shared" si="21"/>
        <v>260</v>
      </c>
      <c r="J8" s="20">
        <f t="shared" si="5"/>
        <v>178.482158</v>
      </c>
      <c r="K8" s="2">
        <f t="shared" si="21"/>
        <v>260</v>
      </c>
      <c r="L8" s="2">
        <f t="shared" si="6"/>
        <v>315.36626440432235</v>
      </c>
      <c r="M8" s="2">
        <f t="shared" si="7"/>
        <v>0.68646983846153842</v>
      </c>
      <c r="N8" s="2">
        <f t="shared" si="8"/>
        <v>34.468423814209366</v>
      </c>
      <c r="P8" s="4">
        <f t="shared" si="9"/>
        <v>0.66120000512464649</v>
      </c>
      <c r="Q8" s="4">
        <f t="shared" si="10"/>
        <v>0.98085307027820468</v>
      </c>
      <c r="R8" s="4">
        <f t="shared" si="11"/>
        <v>3.110202900525467E-3</v>
      </c>
      <c r="S8" s="4">
        <f t="shared" si="1"/>
        <v>0.69753801533875825</v>
      </c>
      <c r="T8" s="2">
        <f t="shared" si="2"/>
        <v>287.82370733547464</v>
      </c>
      <c r="U8" s="6">
        <f t="shared" si="12"/>
        <v>0.76428714025627553</v>
      </c>
      <c r="V8" s="4">
        <f t="shared" si="13"/>
        <v>1.1559091565829549</v>
      </c>
      <c r="W8" s="4">
        <f t="shared" si="14"/>
        <v>0.99811004135099102</v>
      </c>
      <c r="X8" s="3">
        <f t="shared" si="15"/>
        <v>25.166880253711309</v>
      </c>
      <c r="Y8" s="8">
        <f t="shared" si="16"/>
        <v>20.748537825770235</v>
      </c>
      <c r="Z8" s="3">
        <f t="shared" si="17"/>
        <v>14.243245409569615</v>
      </c>
      <c r="AA8" s="3">
        <f t="shared" si="18"/>
        <v>7936.7850123238395</v>
      </c>
      <c r="AB8" s="3"/>
      <c r="AC8" s="3"/>
      <c r="AD8" s="15"/>
    </row>
    <row r="9" spans="1:30">
      <c r="A9" s="7">
        <f t="shared" si="3"/>
        <v>490</v>
      </c>
      <c r="B9" s="3">
        <f t="shared" si="3"/>
        <v>-147.37104688888888</v>
      </c>
      <c r="D9" s="1">
        <f t="shared" si="19"/>
        <v>7</v>
      </c>
      <c r="E9" s="2">
        <f t="shared" si="20"/>
        <v>10</v>
      </c>
      <c r="F9" s="2">
        <f t="shared" si="20"/>
        <v>10</v>
      </c>
      <c r="G9" s="2">
        <f t="shared" si="4"/>
        <v>7.0710678118654746</v>
      </c>
      <c r="H9" s="20">
        <f t="shared" si="0"/>
        <v>21.111111111111111</v>
      </c>
      <c r="I9" s="2">
        <f t="shared" si="21"/>
        <v>260</v>
      </c>
      <c r="J9" s="20">
        <f t="shared" si="5"/>
        <v>168.482158</v>
      </c>
      <c r="K9" s="2">
        <f t="shared" si="21"/>
        <v>260</v>
      </c>
      <c r="L9" s="2">
        <f t="shared" si="6"/>
        <v>309.81645786551906</v>
      </c>
      <c r="M9" s="2">
        <f t="shared" si="7"/>
        <v>0.64800829999999998</v>
      </c>
      <c r="N9" s="2">
        <f t="shared" si="8"/>
        <v>32.943572385407428</v>
      </c>
      <c r="P9" s="4">
        <f t="shared" si="9"/>
        <v>0.67029927464481331</v>
      </c>
      <c r="Q9" s="4">
        <f t="shared" si="10"/>
        <v>1.0056486662977846</v>
      </c>
      <c r="R9" s="4">
        <f t="shared" si="11"/>
        <v>3.2459497898407416E-3</v>
      </c>
      <c r="S9" s="4">
        <f t="shared" si="1"/>
        <v>0.69753801533875825</v>
      </c>
      <c r="T9" s="2">
        <f t="shared" si="2"/>
        <v>287.82370733547464</v>
      </c>
      <c r="U9" s="6">
        <f t="shared" si="12"/>
        <v>0.75083723693028293</v>
      </c>
      <c r="V9" s="4">
        <f t="shared" si="13"/>
        <v>1.1201522444256651</v>
      </c>
      <c r="W9" s="4">
        <f t="shared" si="14"/>
        <v>0.99970659521482874</v>
      </c>
      <c r="X9" s="3">
        <f t="shared" si="15"/>
        <v>24.95008487167663</v>
      </c>
      <c r="Y9" s="8">
        <f t="shared" si="16"/>
        <v>20.938274587890749</v>
      </c>
      <c r="Z9" s="3">
        <f t="shared" si="17"/>
        <v>13.568175720632288</v>
      </c>
      <c r="AA9" s="3">
        <f t="shared" si="18"/>
        <v>7729.9469183869269</v>
      </c>
      <c r="AB9" s="3"/>
      <c r="AC9" s="3"/>
      <c r="AD9" s="15"/>
    </row>
    <row r="10" spans="1:30">
      <c r="A10" s="7">
        <f t="shared" si="3"/>
        <v>490</v>
      </c>
      <c r="B10" s="3">
        <f t="shared" si="3"/>
        <v>-147.37104688888888</v>
      </c>
      <c r="D10" s="1">
        <f t="shared" si="19"/>
        <v>8</v>
      </c>
      <c r="E10" s="2">
        <f t="shared" si="20"/>
        <v>10</v>
      </c>
      <c r="F10" s="2">
        <f t="shared" si="20"/>
        <v>10</v>
      </c>
      <c r="G10" s="2">
        <f t="shared" si="4"/>
        <v>7.0710678118654746</v>
      </c>
      <c r="H10" s="20">
        <f t="shared" si="0"/>
        <v>11.111111111111111</v>
      </c>
      <c r="I10" s="2">
        <f t="shared" si="21"/>
        <v>260</v>
      </c>
      <c r="J10" s="20">
        <f t="shared" si="5"/>
        <v>158.482158</v>
      </c>
      <c r="K10" s="2">
        <f t="shared" si="21"/>
        <v>260</v>
      </c>
      <c r="L10" s="2">
        <f t="shared" si="6"/>
        <v>304.49399732069753</v>
      </c>
      <c r="M10" s="2">
        <f t="shared" si="7"/>
        <v>0.60954676153846155</v>
      </c>
      <c r="N10" s="2">
        <f t="shared" si="8"/>
        <v>31.364261033983894</v>
      </c>
      <c r="P10" s="4">
        <f t="shared" si="9"/>
        <v>0.6802933141759735</v>
      </c>
      <c r="Q10" s="4">
        <f t="shared" si="10"/>
        <v>1.0330774591515475</v>
      </c>
      <c r="R10" s="4">
        <f t="shared" si="11"/>
        <v>3.3927678976984729E-3</v>
      </c>
      <c r="S10" s="4">
        <f t="shared" si="1"/>
        <v>0.69753801533875825</v>
      </c>
      <c r="T10" s="2">
        <f t="shared" si="2"/>
        <v>287.82370733547464</v>
      </c>
      <c r="U10" s="6">
        <f t="shared" si="12"/>
        <v>0.73793830445691866</v>
      </c>
      <c r="V10" s="4">
        <f t="shared" si="13"/>
        <v>1.0847354943518288</v>
      </c>
      <c r="W10" s="4">
        <f t="shared" si="14"/>
        <v>1.0006030124080723</v>
      </c>
      <c r="X10" s="3">
        <f t="shared" si="15"/>
        <v>24.706885085595694</v>
      </c>
      <c r="Y10" s="8">
        <f t="shared" si="16"/>
        <v>21.096606759998785</v>
      </c>
      <c r="Z10" s="3">
        <f t="shared" si="17"/>
        <v>12.859368330007676</v>
      </c>
      <c r="AA10" s="3">
        <f t="shared" si="18"/>
        <v>7523.0982010561565</v>
      </c>
      <c r="AB10" s="3"/>
      <c r="AC10" s="3"/>
      <c r="AD10" s="15"/>
    </row>
    <row r="11" spans="1:30">
      <c r="A11" s="7">
        <f t="shared" si="3"/>
        <v>490</v>
      </c>
      <c r="B11" s="3">
        <f t="shared" si="3"/>
        <v>-147.37104688888888</v>
      </c>
      <c r="D11" s="1">
        <f t="shared" si="19"/>
        <v>9</v>
      </c>
      <c r="E11" s="2">
        <f t="shared" si="20"/>
        <v>10</v>
      </c>
      <c r="F11" s="2">
        <f t="shared" si="20"/>
        <v>10</v>
      </c>
      <c r="G11" s="2">
        <f t="shared" si="4"/>
        <v>7.0710678118654746</v>
      </c>
      <c r="H11" s="20">
        <f t="shared" si="0"/>
        <v>1.1111111111111107</v>
      </c>
      <c r="I11" s="2">
        <f t="shared" si="21"/>
        <v>260</v>
      </c>
      <c r="J11" s="20">
        <f t="shared" si="5"/>
        <v>148.482158</v>
      </c>
      <c r="K11" s="2">
        <f t="shared" si="21"/>
        <v>260</v>
      </c>
      <c r="L11" s="2">
        <f t="shared" si="6"/>
        <v>299.41100721973623</v>
      </c>
      <c r="M11" s="2">
        <f t="shared" si="7"/>
        <v>0.57108522307692311</v>
      </c>
      <c r="N11" s="2">
        <f t="shared" si="8"/>
        <v>29.730049131828213</v>
      </c>
      <c r="P11" s="4">
        <f t="shared" si="9"/>
        <v>0.69131447093977894</v>
      </c>
      <c r="Q11" s="4">
        <f t="shared" si="10"/>
        <v>1.0635494696899108</v>
      </c>
      <c r="R11" s="4">
        <f t="shared" si="11"/>
        <v>3.552138846082493E-3</v>
      </c>
      <c r="S11" s="4">
        <f t="shared" si="1"/>
        <v>0.69753801533875825</v>
      </c>
      <c r="T11" s="2">
        <f t="shared" si="2"/>
        <v>287.82370733547464</v>
      </c>
      <c r="U11" s="6">
        <f t="shared" si="12"/>
        <v>0.72561972632506744</v>
      </c>
      <c r="V11" s="4">
        <f t="shared" si="13"/>
        <v>1.0496232276732955</v>
      </c>
      <c r="W11" s="4">
        <f t="shared" si="14"/>
        <v>1.0008230407699585</v>
      </c>
      <c r="X11" s="3">
        <f t="shared" si="15"/>
        <v>24.439082947950048</v>
      </c>
      <c r="Y11" s="8">
        <f t="shared" si="16"/>
        <v>21.22220430528035</v>
      </c>
      <c r="Z11" s="3">
        <f t="shared" si="17"/>
        <v>12.119687279865067</v>
      </c>
      <c r="AA11" s="3">
        <f t="shared" si="18"/>
        <v>7317.3304409724042</v>
      </c>
      <c r="AB11" s="3"/>
      <c r="AC11" s="3"/>
      <c r="AD11" s="15"/>
    </row>
    <row r="12" spans="1:30">
      <c r="A12" s="7">
        <f t="shared" si="3"/>
        <v>490</v>
      </c>
      <c r="B12" s="3">
        <f t="shared" si="3"/>
        <v>-147.37104688888888</v>
      </c>
      <c r="D12" s="1">
        <f t="shared" si="19"/>
        <v>10</v>
      </c>
      <c r="E12" s="2">
        <f t="shared" si="20"/>
        <v>10</v>
      </c>
      <c r="F12" s="2">
        <f t="shared" si="20"/>
        <v>10</v>
      </c>
      <c r="G12" s="2">
        <f t="shared" si="4"/>
        <v>7.0710678118654746</v>
      </c>
      <c r="H12" s="20">
        <f t="shared" si="0"/>
        <v>-8.8888888888888893</v>
      </c>
      <c r="I12" s="2">
        <f t="shared" si="21"/>
        <v>260</v>
      </c>
      <c r="J12" s="20">
        <f t="shared" si="5"/>
        <v>138.482158</v>
      </c>
      <c r="K12" s="2">
        <f t="shared" si="21"/>
        <v>260</v>
      </c>
      <c r="L12" s="2">
        <f t="shared" si="6"/>
        <v>294.57988404563025</v>
      </c>
      <c r="M12" s="2">
        <f t="shared" si="7"/>
        <v>0.53262368461538456</v>
      </c>
      <c r="N12" s="2">
        <f t="shared" si="8"/>
        <v>28.040821995390427</v>
      </c>
      <c r="P12" s="4">
        <f t="shared" si="9"/>
        <v>0.70352333382290866</v>
      </c>
      <c r="Q12" s="4">
        <f t="shared" si="10"/>
        <v>1.0975631539374078</v>
      </c>
      <c r="R12" s="4">
        <f t="shared" si="11"/>
        <v>3.725859141717212E-3</v>
      </c>
      <c r="S12" s="4">
        <f t="shared" si="1"/>
        <v>0.69753801533875825</v>
      </c>
      <c r="T12" s="2">
        <f t="shared" si="2"/>
        <v>287.82370733547464</v>
      </c>
      <c r="U12" s="6">
        <f t="shared" si="12"/>
        <v>0.71391154529328349</v>
      </c>
      <c r="V12" s="4">
        <f t="shared" si="13"/>
        <v>1.0147659799909206</v>
      </c>
      <c r="W12" s="4">
        <f t="shared" si="14"/>
        <v>1.0003839381692017</v>
      </c>
      <c r="X12" s="3">
        <f t="shared" si="15"/>
        <v>24.148543947211831</v>
      </c>
      <c r="Y12" s="8">
        <f t="shared" si="16"/>
        <v>21.313815933550035</v>
      </c>
      <c r="Z12" s="3">
        <f t="shared" si="17"/>
        <v>11.352243175741513</v>
      </c>
      <c r="AA12" s="3">
        <f t="shared" si="18"/>
        <v>7113.6752758404673</v>
      </c>
      <c r="AB12" s="3"/>
      <c r="AC12" s="3"/>
      <c r="AD12" s="15"/>
    </row>
    <row r="13" spans="1:30">
      <c r="A13" s="7"/>
      <c r="B13" s="3"/>
      <c r="D13" s="1"/>
      <c r="E13" s="2"/>
      <c r="F13" s="2"/>
      <c r="G13" s="2"/>
      <c r="H13" s="20"/>
      <c r="I13" s="2"/>
      <c r="J13" s="20"/>
      <c r="K13" s="2"/>
      <c r="L13" s="2"/>
      <c r="M13" s="2"/>
      <c r="N13" s="2"/>
      <c r="P13" s="4"/>
      <c r="Q13" s="4"/>
      <c r="R13" s="4"/>
      <c r="S13" s="4"/>
      <c r="T13" s="2"/>
      <c r="U13" s="6"/>
      <c r="V13" s="4"/>
      <c r="W13" s="4"/>
      <c r="X13" s="3"/>
      <c r="Y13" s="8"/>
      <c r="Z13" s="3"/>
      <c r="AA13" s="3"/>
      <c r="AB13" s="3"/>
      <c r="AC13" s="3"/>
      <c r="AD13" s="15"/>
    </row>
    <row r="14" spans="1:30">
      <c r="A14" s="7"/>
      <c r="B14" s="3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P14" s="4"/>
      <c r="Q14" s="4"/>
      <c r="R14" s="4"/>
      <c r="S14" s="4"/>
      <c r="T14" s="2"/>
      <c r="U14" s="6"/>
      <c r="V14" s="4"/>
      <c r="W14" s="4"/>
      <c r="X14" s="3"/>
      <c r="Y14" s="8"/>
      <c r="Z14" s="3"/>
      <c r="AA14" s="3"/>
      <c r="AB14" s="3"/>
      <c r="AC14" s="3"/>
      <c r="AD14" s="15"/>
    </row>
    <row r="15" spans="1:30" ht="22.5" customHeight="1">
      <c r="A15" s="11" t="s">
        <v>28</v>
      </c>
      <c r="B15" s="11" t="s">
        <v>37</v>
      </c>
      <c r="C15" s="12"/>
      <c r="D15" s="13" t="s">
        <v>1</v>
      </c>
      <c r="E15" s="11" t="s">
        <v>21</v>
      </c>
      <c r="F15" s="13" t="s">
        <v>2</v>
      </c>
      <c r="G15" s="13" t="s">
        <v>3</v>
      </c>
      <c r="H15" s="13" t="s">
        <v>38</v>
      </c>
      <c r="I15" s="13" t="s">
        <v>39</v>
      </c>
      <c r="J15" s="11" t="s">
        <v>42</v>
      </c>
      <c r="K15" s="11" t="s">
        <v>43</v>
      </c>
      <c r="L15" s="11" t="s">
        <v>165</v>
      </c>
      <c r="M15" s="13" t="s">
        <v>19</v>
      </c>
      <c r="N15" s="13" t="s">
        <v>20</v>
      </c>
      <c r="O15" s="12"/>
      <c r="P15" s="14" t="s">
        <v>6</v>
      </c>
      <c r="Q15" s="14" t="s">
        <v>7</v>
      </c>
      <c r="R15" s="14" t="s">
        <v>8</v>
      </c>
      <c r="S15" s="14" t="s">
        <v>22</v>
      </c>
      <c r="T15" s="14" t="s">
        <v>23</v>
      </c>
      <c r="U15" s="14" t="s">
        <v>9</v>
      </c>
      <c r="V15" s="14" t="s">
        <v>10</v>
      </c>
      <c r="W15" s="14" t="s">
        <v>12</v>
      </c>
      <c r="X15" s="14" t="s">
        <v>13</v>
      </c>
      <c r="Y15" s="14" t="s">
        <v>14</v>
      </c>
      <c r="Z15" s="14" t="s">
        <v>15</v>
      </c>
      <c r="AA15" s="14" t="s">
        <v>16</v>
      </c>
      <c r="AB15" s="14" t="s">
        <v>41</v>
      </c>
      <c r="AC15" s="3"/>
      <c r="AD15" s="3"/>
    </row>
    <row r="16" spans="1:30" ht="22.5" customHeight="1">
      <c r="A16" s="11" t="s">
        <v>24</v>
      </c>
      <c r="B16" s="11" t="s">
        <v>4</v>
      </c>
      <c r="C16" s="12"/>
      <c r="D16" s="13" t="s">
        <v>0</v>
      </c>
      <c r="E16" s="13" t="s">
        <v>4</v>
      </c>
      <c r="F16" s="13" t="s">
        <v>4</v>
      </c>
      <c r="G16" s="13" t="s">
        <v>4</v>
      </c>
      <c r="H16" s="13" t="s">
        <v>4</v>
      </c>
      <c r="I16" s="13" t="s">
        <v>4</v>
      </c>
      <c r="J16" s="13" t="s">
        <v>4</v>
      </c>
      <c r="K16" s="13" t="s">
        <v>4</v>
      </c>
      <c r="L16" s="13" t="s">
        <v>4</v>
      </c>
      <c r="M16" s="13" t="s">
        <v>45</v>
      </c>
      <c r="N16" s="13" t="s">
        <v>5</v>
      </c>
      <c r="O16" s="12"/>
      <c r="P16" s="13" t="s">
        <v>4</v>
      </c>
      <c r="Q16" s="13" t="s">
        <v>4</v>
      </c>
      <c r="R16" s="13"/>
      <c r="S16" s="13" t="s">
        <v>4</v>
      </c>
      <c r="T16" s="13" t="s">
        <v>4</v>
      </c>
      <c r="U16" s="13" t="s">
        <v>4</v>
      </c>
      <c r="V16" s="14" t="s">
        <v>11</v>
      </c>
      <c r="W16" s="13"/>
      <c r="X16" s="13" t="s">
        <v>18</v>
      </c>
      <c r="Y16" s="13" t="s">
        <v>18</v>
      </c>
      <c r="Z16" s="13" t="s">
        <v>18</v>
      </c>
      <c r="AA16" s="13" t="s">
        <v>17</v>
      </c>
      <c r="AB16" s="14" t="s">
        <v>4</v>
      </c>
      <c r="AC16" s="3"/>
      <c r="AD16" s="3"/>
    </row>
    <row r="17" spans="1:30">
      <c r="A17" s="7">
        <f>A3</f>
        <v>490</v>
      </c>
      <c r="B17" s="3">
        <f>B3</f>
        <v>-147.37104688888888</v>
      </c>
      <c r="D17" s="1">
        <f>MAX(D3:D14)+1</f>
        <v>11</v>
      </c>
      <c r="E17" s="2">
        <f>E3</f>
        <v>10</v>
      </c>
      <c r="F17" s="2">
        <f>F3</f>
        <v>10</v>
      </c>
      <c r="G17" s="2">
        <f t="shared" si="4"/>
        <v>7.0710678118654746</v>
      </c>
      <c r="H17" s="2">
        <f>-$AB$3</f>
        <v>-13.888888888888889</v>
      </c>
      <c r="I17" s="2">
        <f t="shared" ref="I17:I42" si="22">E17*(MAX($D$17:$D$59)-D17+0.5)</f>
        <v>255</v>
      </c>
      <c r="J17" s="20">
        <f t="shared" ref="J17:J38" si="23">H17-B17</f>
        <v>133.482158</v>
      </c>
      <c r="K17" s="2">
        <f>I17</f>
        <v>255</v>
      </c>
      <c r="L17" s="2">
        <f t="shared" ref="L17:L38" si="24">SQRT(J17^2+K17^2)</f>
        <v>287.82370733547464</v>
      </c>
      <c r="M17" s="2">
        <f>IF(J17=0,"infinity",ABS(K17/J17))</f>
        <v>1.910367676255279</v>
      </c>
      <c r="N17" s="2">
        <f>IF(J17=0,90,ATAN(M17)*180/PI())</f>
        <v>62.369766477450121</v>
      </c>
      <c r="P17" s="4">
        <f>0.209 * (ABS(N17)+2)^-0.32 * F17</f>
        <v>0.55127470733643369</v>
      </c>
      <c r="Q17" s="4">
        <f t="shared" si="10"/>
        <v>0.69753801533875825</v>
      </c>
      <c r="R17" s="4">
        <f t="shared" si="11"/>
        <v>2.423490482407478E-3</v>
      </c>
      <c r="S17" s="4">
        <f t="shared" ref="S17:S42" si="25">INDEX($Q$3:$Q$59, MATCH(MIN($R$3:$R$59),$R$3:$R$59,0))</f>
        <v>0.69753801533875825</v>
      </c>
      <c r="T17" s="2">
        <f t="shared" ref="T17:T42" si="26">INDEX($L$3:$L$59, MATCH(MIN($R$3:$R$59),$R$3:$R$59,0))</f>
        <v>287.82370733547464</v>
      </c>
      <c r="U17" s="6">
        <f t="shared" si="12"/>
        <v>0.69753801533875825</v>
      </c>
      <c r="V17" s="4">
        <f t="shared" si="13"/>
        <v>1.2653183722304577</v>
      </c>
      <c r="W17" s="4">
        <f t="shared" si="14"/>
        <v>0.98880779806674157</v>
      </c>
      <c r="X17" s="3">
        <f t="shared" si="15"/>
        <v>29.127327544973323</v>
      </c>
      <c r="Y17" s="8">
        <f>X17*SIN(N17*PI()/180)</f>
        <v>25.805617586987253</v>
      </c>
      <c r="Z17" s="3">
        <f>X17*COS(N17*PI()/180)</f>
        <v>13.508194211897299</v>
      </c>
      <c r="AA17" s="3">
        <f t="shared" si="18"/>
        <v>8383.5353987689105</v>
      </c>
      <c r="AB17" s="3">
        <f>120+MAX($D$3:$D$14)*E3-AB3</f>
        <v>206.11111111111111</v>
      </c>
      <c r="AC17" s="3"/>
      <c r="AD17" s="3"/>
    </row>
    <row r="18" spans="1:30">
      <c r="A18" s="7">
        <f t="shared" si="3"/>
        <v>490</v>
      </c>
      <c r="B18" s="3">
        <f t="shared" si="3"/>
        <v>-147.37104688888888</v>
      </c>
      <c r="D18" s="1">
        <f>D17+1</f>
        <v>12</v>
      </c>
      <c r="E18" s="2">
        <f t="shared" si="20"/>
        <v>10</v>
      </c>
      <c r="F18" s="2">
        <f t="shared" si="20"/>
        <v>10</v>
      </c>
      <c r="G18" s="2">
        <f t="shared" si="4"/>
        <v>7.0710678118654746</v>
      </c>
      <c r="H18" s="2">
        <f t="shared" ref="H18:H42" si="27">-$AB$3</f>
        <v>-13.888888888888889</v>
      </c>
      <c r="I18" s="2">
        <f t="shared" si="22"/>
        <v>245</v>
      </c>
      <c r="J18" s="20">
        <f t="shared" si="23"/>
        <v>133.482158</v>
      </c>
      <c r="K18" s="2">
        <f t="shared" ref="K18:K38" si="28">I18</f>
        <v>245</v>
      </c>
      <c r="L18" s="2">
        <f t="shared" si="24"/>
        <v>279.00266397354875</v>
      </c>
      <c r="M18" s="2">
        <f t="shared" ref="M18:M38" si="29">IF(J18=0,"infinity",ABS(K18/J18))</f>
        <v>1.8354512967942878</v>
      </c>
      <c r="N18" s="2">
        <f t="shared" ref="N18:N38" si="30">IF(J18=0,90,ATAN(M18)*180/PI())</f>
        <v>61.417341141258255</v>
      </c>
      <c r="P18" s="4">
        <f t="shared" si="9"/>
        <v>0.55391065157772701</v>
      </c>
      <c r="Q18" s="4">
        <f t="shared" si="10"/>
        <v>0.70392759541928585</v>
      </c>
      <c r="R18" s="4">
        <f t="shared" si="11"/>
        <v>2.5230138859391777E-3</v>
      </c>
      <c r="S18" s="4">
        <f t="shared" si="25"/>
        <v>0.69753801533875825</v>
      </c>
      <c r="T18" s="2">
        <f t="shared" si="26"/>
        <v>287.82370733547464</v>
      </c>
      <c r="U18" s="6">
        <f t="shared" si="12"/>
        <v>0.67616030070622712</v>
      </c>
      <c r="V18" s="4">
        <f t="shared" si="13"/>
        <v>1.2207028313687258</v>
      </c>
      <c r="W18" s="4">
        <f t="shared" si="14"/>
        <v>0.99341907625379811</v>
      </c>
      <c r="X18" s="3">
        <f t="shared" si="15"/>
        <v>29.149242723674355</v>
      </c>
      <c r="Y18" s="8">
        <f t="shared" ref="Y18:Y38" si="31">X18*SIN(N18*PI()/180)</f>
        <v>25.596760853786268</v>
      </c>
      <c r="Z18" s="3">
        <f t="shared" ref="Z18:Z38" si="32">X18*COS(N18*PI()/180)</f>
        <v>13.945758679891075</v>
      </c>
      <c r="AA18" s="3">
        <f t="shared" si="18"/>
        <v>8132.7163727167272</v>
      </c>
      <c r="AB18" s="3"/>
      <c r="AC18" s="3"/>
      <c r="AD18" s="3"/>
    </row>
    <row r="19" spans="1:30">
      <c r="A19" s="7">
        <f t="shared" si="3"/>
        <v>490</v>
      </c>
      <c r="B19" s="3">
        <f t="shared" si="3"/>
        <v>-147.37104688888888</v>
      </c>
      <c r="D19" s="1">
        <f t="shared" ref="D19:D42" si="33">D18+1</f>
        <v>13</v>
      </c>
      <c r="E19" s="2">
        <f t="shared" si="20"/>
        <v>10</v>
      </c>
      <c r="F19" s="2">
        <f t="shared" si="20"/>
        <v>10</v>
      </c>
      <c r="G19" s="2">
        <f t="shared" si="4"/>
        <v>7.0710678118654746</v>
      </c>
      <c r="H19" s="2">
        <f t="shared" si="27"/>
        <v>-13.888888888888889</v>
      </c>
      <c r="I19" s="2">
        <f t="shared" si="22"/>
        <v>235</v>
      </c>
      <c r="J19" s="20">
        <f t="shared" si="23"/>
        <v>133.482158</v>
      </c>
      <c r="K19" s="2">
        <f t="shared" si="28"/>
        <v>235</v>
      </c>
      <c r="L19" s="2">
        <f t="shared" si="24"/>
        <v>270.26373508914764</v>
      </c>
      <c r="M19" s="2">
        <f t="shared" si="29"/>
        <v>1.7605349173332963</v>
      </c>
      <c r="N19" s="2">
        <f t="shared" si="30"/>
        <v>60.403027159428625</v>
      </c>
      <c r="P19" s="4">
        <f t="shared" si="9"/>
        <v>0.5567759602895187</v>
      </c>
      <c r="Q19" s="4">
        <f t="shared" si="10"/>
        <v>0.71089821408207343</v>
      </c>
      <c r="R19" s="4">
        <f t="shared" si="11"/>
        <v>2.6303869953087883E-3</v>
      </c>
      <c r="S19" s="4">
        <f t="shared" si="25"/>
        <v>0.69753801533875825</v>
      </c>
      <c r="T19" s="2">
        <f t="shared" si="26"/>
        <v>287.82370733547464</v>
      </c>
      <c r="U19" s="6">
        <f t="shared" si="12"/>
        <v>0.65498158972844533</v>
      </c>
      <c r="V19" s="4">
        <f t="shared" si="13"/>
        <v>1.1763826681523042</v>
      </c>
      <c r="W19" s="4">
        <f t="shared" si="14"/>
        <v>0.99688021221158263</v>
      </c>
      <c r="X19" s="3">
        <f t="shared" si="15"/>
        <v>29.125748896227993</v>
      </c>
      <c r="Y19" s="8">
        <f t="shared" si="31"/>
        <v>25.325451038985584</v>
      </c>
      <c r="Z19" s="3">
        <f t="shared" si="32"/>
        <v>14.385088753221865</v>
      </c>
      <c r="AA19" s="3">
        <f t="shared" si="18"/>
        <v>7871.6336839631967</v>
      </c>
      <c r="AB19" s="14" t="s">
        <v>46</v>
      </c>
      <c r="AC19" s="3"/>
      <c r="AD19" s="3"/>
    </row>
    <row r="20" spans="1:30">
      <c r="A20" s="7">
        <f t="shared" ref="A20:B35" si="34">A19</f>
        <v>490</v>
      </c>
      <c r="B20" s="3">
        <f t="shared" si="34"/>
        <v>-147.37104688888888</v>
      </c>
      <c r="D20" s="1">
        <f t="shared" si="33"/>
        <v>14</v>
      </c>
      <c r="E20" s="2">
        <f t="shared" si="20"/>
        <v>10</v>
      </c>
      <c r="F20" s="2">
        <f t="shared" si="20"/>
        <v>10</v>
      </c>
      <c r="G20" s="2">
        <f t="shared" si="4"/>
        <v>7.0710678118654746</v>
      </c>
      <c r="H20" s="2">
        <f t="shared" si="27"/>
        <v>-13.888888888888889</v>
      </c>
      <c r="I20" s="2">
        <f t="shared" si="22"/>
        <v>225</v>
      </c>
      <c r="J20" s="20">
        <f t="shared" si="23"/>
        <v>133.482158</v>
      </c>
      <c r="K20" s="2">
        <f t="shared" si="28"/>
        <v>225</v>
      </c>
      <c r="L20" s="2">
        <f t="shared" si="24"/>
        <v>261.61514960784854</v>
      </c>
      <c r="M20" s="2">
        <f t="shared" si="29"/>
        <v>1.685618537872305</v>
      </c>
      <c r="N20" s="2">
        <f t="shared" si="30"/>
        <v>59.321291893262796</v>
      </c>
      <c r="P20" s="4">
        <f t="shared" si="9"/>
        <v>0.55990026293783091</v>
      </c>
      <c r="Q20" s="4">
        <f t="shared" si="10"/>
        <v>0.7185284135103166</v>
      </c>
      <c r="R20" s="4">
        <f t="shared" si="11"/>
        <v>2.7465091933221919E-3</v>
      </c>
      <c r="S20" s="4">
        <f t="shared" si="25"/>
        <v>0.69753801533875825</v>
      </c>
      <c r="T20" s="2">
        <f t="shared" si="26"/>
        <v>287.82370733547464</v>
      </c>
      <c r="U20" s="6">
        <f t="shared" si="12"/>
        <v>0.63402182512822947</v>
      </c>
      <c r="V20" s="4">
        <f t="shared" si="13"/>
        <v>1.1323835102371236</v>
      </c>
      <c r="W20" s="4">
        <f t="shared" si="14"/>
        <v>0.99923897352613389</v>
      </c>
      <c r="X20" s="3">
        <f t="shared" si="15"/>
        <v>29.057329290652035</v>
      </c>
      <c r="Y20" s="8">
        <f t="shared" si="31"/>
        <v>24.990521765260066</v>
      </c>
      <c r="Z20" s="3">
        <f t="shared" si="32"/>
        <v>14.825727887879486</v>
      </c>
      <c r="AA20" s="3">
        <f t="shared" si="18"/>
        <v>7601.8375495784512</v>
      </c>
      <c r="AB20" s="14" t="s">
        <v>4</v>
      </c>
      <c r="AC20" s="3"/>
      <c r="AD20" s="3"/>
    </row>
    <row r="21" spans="1:30">
      <c r="A21" s="7">
        <f t="shared" si="34"/>
        <v>490</v>
      </c>
      <c r="B21" s="3">
        <f t="shared" si="34"/>
        <v>-147.37104688888888</v>
      </c>
      <c r="D21" s="1">
        <f t="shared" si="33"/>
        <v>15</v>
      </c>
      <c r="E21" s="2">
        <f t="shared" ref="E21:F36" si="35">E20</f>
        <v>10</v>
      </c>
      <c r="F21" s="2">
        <f t="shared" si="35"/>
        <v>10</v>
      </c>
      <c r="G21" s="2">
        <f t="shared" si="4"/>
        <v>7.0710678118654746</v>
      </c>
      <c r="H21" s="2">
        <f t="shared" si="27"/>
        <v>-13.888888888888889</v>
      </c>
      <c r="I21" s="2">
        <f t="shared" si="22"/>
        <v>215</v>
      </c>
      <c r="J21" s="20">
        <f t="shared" si="23"/>
        <v>133.482158</v>
      </c>
      <c r="K21" s="2">
        <f t="shared" si="28"/>
        <v>215</v>
      </c>
      <c r="L21" s="2">
        <f t="shared" si="24"/>
        <v>253.06617020917071</v>
      </c>
      <c r="M21" s="2">
        <f t="shared" si="29"/>
        <v>1.6107021584113137</v>
      </c>
      <c r="N21" s="2">
        <f t="shared" si="30"/>
        <v>58.166035723097536</v>
      </c>
      <c r="P21" s="4">
        <f t="shared" si="9"/>
        <v>0.56331827277565416</v>
      </c>
      <c r="Q21" s="4">
        <f t="shared" si="10"/>
        <v>0.72691086196153365</v>
      </c>
      <c r="R21" s="4">
        <f t="shared" si="11"/>
        <v>2.8724142043984337E-3</v>
      </c>
      <c r="S21" s="4">
        <f t="shared" si="25"/>
        <v>0.69753801533875825</v>
      </c>
      <c r="T21" s="2">
        <f t="shared" si="26"/>
        <v>287.82370733547464</v>
      </c>
      <c r="U21" s="6">
        <f t="shared" si="12"/>
        <v>0.61330345492123606</v>
      </c>
      <c r="V21" s="4">
        <f t="shared" si="13"/>
        <v>1.0887334648302611</v>
      </c>
      <c r="W21" s="4">
        <f t="shared" si="14"/>
        <v>1.0005357894489506</v>
      </c>
      <c r="X21" s="3">
        <f t="shared" si="15"/>
        <v>28.944148197725273</v>
      </c>
      <c r="Y21" s="8">
        <f t="shared" si="31"/>
        <v>24.590374356901783</v>
      </c>
      <c r="Z21" s="3">
        <f t="shared" si="32"/>
        <v>15.266866210172616</v>
      </c>
      <c r="AA21" s="3">
        <f t="shared" si="18"/>
        <v>7324.7847343650055</v>
      </c>
      <c r="AB21" s="3">
        <f>AB17-B3</f>
        <v>353.48215800000003</v>
      </c>
      <c r="AC21" s="3"/>
      <c r="AD21" s="3"/>
    </row>
    <row r="22" spans="1:30" hidden="1">
      <c r="A22" s="7">
        <f t="shared" si="34"/>
        <v>490</v>
      </c>
      <c r="B22" s="3">
        <f t="shared" si="34"/>
        <v>-147.37104688888888</v>
      </c>
      <c r="D22" s="1">
        <f t="shared" si="33"/>
        <v>16</v>
      </c>
      <c r="E22" s="2">
        <f t="shared" si="35"/>
        <v>10</v>
      </c>
      <c r="F22" s="2">
        <f t="shared" si="35"/>
        <v>10</v>
      </c>
      <c r="G22" s="2">
        <f t="shared" si="4"/>
        <v>7.0710678118654746</v>
      </c>
      <c r="H22" s="2">
        <f t="shared" si="27"/>
        <v>-13.888888888888889</v>
      </c>
      <c r="I22" s="2">
        <f t="shared" si="22"/>
        <v>205</v>
      </c>
      <c r="J22" s="20">
        <f t="shared" si="23"/>
        <v>133.482158</v>
      </c>
      <c r="K22" s="2">
        <f t="shared" si="28"/>
        <v>205</v>
      </c>
      <c r="L22" s="2">
        <f t="shared" si="24"/>
        <v>244.62723990663216</v>
      </c>
      <c r="M22" s="2">
        <f t="shared" si="29"/>
        <v>1.5357857789503224</v>
      </c>
      <c r="N22" s="2">
        <f t="shared" si="30"/>
        <v>56.930541836711832</v>
      </c>
      <c r="P22" s="4">
        <f t="shared" si="9"/>
        <v>0.567070881327562</v>
      </c>
      <c r="Q22" s="4">
        <f t="shared" si="10"/>
        <v>0.73615554531403582</v>
      </c>
      <c r="R22" s="4">
        <f t="shared" si="11"/>
        <v>3.0092950629496832E-3</v>
      </c>
      <c r="S22" s="4">
        <f t="shared" si="25"/>
        <v>0.69753801533875825</v>
      </c>
      <c r="T22" s="2">
        <f t="shared" si="26"/>
        <v>287.82370733547464</v>
      </c>
      <c r="U22" s="6">
        <f t="shared" si="12"/>
        <v>0.59285178765133395</v>
      </c>
      <c r="V22" s="4">
        <f t="shared" si="13"/>
        <v>1.045463287170409</v>
      </c>
      <c r="W22" s="4">
        <f t="shared" si="14"/>
        <v>1.0008050763422656</v>
      </c>
      <c r="X22" s="3">
        <f t="shared" si="15"/>
        <v>28.786089743630633</v>
      </c>
      <c r="Y22" s="8">
        <f t="shared" si="31"/>
        <v>24.123022438942591</v>
      </c>
      <c r="Z22" s="3">
        <f t="shared" si="32"/>
        <v>15.707283378695028</v>
      </c>
      <c r="AA22" s="3">
        <f t="shared" si="18"/>
        <v>7041.8616816889744</v>
      </c>
      <c r="AB22" s="3"/>
      <c r="AC22" s="3"/>
      <c r="AD22" s="3"/>
    </row>
    <row r="23" spans="1:30" hidden="1">
      <c r="A23" s="7">
        <f t="shared" si="34"/>
        <v>490</v>
      </c>
      <c r="B23" s="3">
        <f t="shared" si="34"/>
        <v>-147.37104688888888</v>
      </c>
      <c r="D23" s="1">
        <f t="shared" si="33"/>
        <v>17</v>
      </c>
      <c r="E23" s="2">
        <f t="shared" si="35"/>
        <v>10</v>
      </c>
      <c r="F23" s="2">
        <f t="shared" si="35"/>
        <v>10</v>
      </c>
      <c r="G23" s="2">
        <f t="shared" si="4"/>
        <v>7.0710678118654746</v>
      </c>
      <c r="H23" s="2">
        <f t="shared" si="27"/>
        <v>-13.888888888888889</v>
      </c>
      <c r="I23" s="2">
        <f t="shared" si="22"/>
        <v>195</v>
      </c>
      <c r="J23" s="20">
        <f t="shared" si="23"/>
        <v>133.482158</v>
      </c>
      <c r="K23" s="2">
        <f t="shared" si="28"/>
        <v>195</v>
      </c>
      <c r="L23" s="2">
        <f t="shared" si="24"/>
        <v>236.31014896600814</v>
      </c>
      <c r="M23" s="2">
        <f t="shared" si="29"/>
        <v>1.4608693994893309</v>
      </c>
      <c r="N23" s="2">
        <f t="shared" si="30"/>
        <v>55.607427843069829</v>
      </c>
      <c r="P23" s="4">
        <f t="shared" si="9"/>
        <v>0.57120653978309699</v>
      </c>
      <c r="Q23" s="4">
        <f t="shared" si="10"/>
        <v>0.74639383568875806</v>
      </c>
      <c r="R23" s="4">
        <f t="shared" si="11"/>
        <v>3.1585348278720038E-3</v>
      </c>
      <c r="S23" s="4">
        <f t="shared" si="25"/>
        <v>0.69753801533875825</v>
      </c>
      <c r="T23" s="2">
        <f t="shared" si="26"/>
        <v>287.82370733547464</v>
      </c>
      <c r="U23" s="6">
        <f t="shared" si="12"/>
        <v>0.57269539691541405</v>
      </c>
      <c r="V23" s="4">
        <f t="shared" si="13"/>
        <v>1.0026065127561081</v>
      </c>
      <c r="W23" s="4">
        <f t="shared" si="14"/>
        <v>1.0000763542254616</v>
      </c>
      <c r="X23" s="3">
        <f t="shared" si="15"/>
        <v>28.58279417214942</v>
      </c>
      <c r="Y23" s="8">
        <f t="shared" si="31"/>
        <v>23.586142567117896</v>
      </c>
      <c r="Z23" s="3">
        <f t="shared" si="32"/>
        <v>16.145277993613117</v>
      </c>
      <c r="AA23" s="3">
        <f t="shared" si="18"/>
        <v>6754.4043486853789</v>
      </c>
      <c r="AB23" s="3"/>
      <c r="AC23" s="3"/>
      <c r="AD23" s="3"/>
    </row>
    <row r="24" spans="1:30" hidden="1">
      <c r="A24" s="7">
        <f t="shared" si="34"/>
        <v>490</v>
      </c>
      <c r="B24" s="3">
        <f t="shared" si="34"/>
        <v>-147.37104688888888</v>
      </c>
      <c r="D24" s="1">
        <f t="shared" si="33"/>
        <v>18</v>
      </c>
      <c r="E24" s="2">
        <f t="shared" si="35"/>
        <v>10</v>
      </c>
      <c r="F24" s="2">
        <f t="shared" si="35"/>
        <v>10</v>
      </c>
      <c r="G24" s="2">
        <f t="shared" si="4"/>
        <v>7.0710678118654746</v>
      </c>
      <c r="H24" s="2">
        <f t="shared" si="27"/>
        <v>-13.888888888888889</v>
      </c>
      <c r="I24" s="2">
        <f t="shared" si="22"/>
        <v>185</v>
      </c>
      <c r="J24" s="20">
        <f t="shared" si="23"/>
        <v>133.482158</v>
      </c>
      <c r="K24" s="2">
        <f t="shared" si="28"/>
        <v>185</v>
      </c>
      <c r="L24" s="2">
        <f t="shared" si="24"/>
        <v>228.12822382234287</v>
      </c>
      <c r="M24" s="2">
        <f t="shared" si="29"/>
        <v>1.3859530200283396</v>
      </c>
      <c r="N24" s="2">
        <f t="shared" si="30"/>
        <v>54.188602799941336</v>
      </c>
      <c r="P24" s="4">
        <f t="shared" si="9"/>
        <v>0.57578301774536089</v>
      </c>
      <c r="Q24" s="4">
        <f t="shared" si="10"/>
        <v>0.75778372539342742</v>
      </c>
      <c r="R24" s="4">
        <f t="shared" si="11"/>
        <v>3.3217447306456874E-3</v>
      </c>
      <c r="S24" s="4">
        <f t="shared" si="25"/>
        <v>0.69753801533875825</v>
      </c>
      <c r="T24" s="2">
        <f t="shared" si="26"/>
        <v>287.82370733547464</v>
      </c>
      <c r="U24" s="6">
        <f t="shared" si="12"/>
        <v>0.55286657920197091</v>
      </c>
      <c r="V24" s="4">
        <f t="shared" si="13"/>
        <v>0.96019952336710845</v>
      </c>
      <c r="W24" s="4">
        <f t="shared" si="14"/>
        <v>0.99837520693639492</v>
      </c>
      <c r="X24" s="3">
        <f t="shared" si="15"/>
        <v>28.333695379457151</v>
      </c>
      <c r="Y24" s="8">
        <f t="shared" si="31"/>
        <v>22.977137845432161</v>
      </c>
      <c r="Z24" s="3">
        <f t="shared" si="32"/>
        <v>16.578583482550027</v>
      </c>
      <c r="AA24" s="3">
        <f t="shared" si="18"/>
        <v>6463.7156012388832</v>
      </c>
      <c r="AB24" s="3"/>
      <c r="AC24" s="3"/>
      <c r="AD24" s="3"/>
    </row>
    <row r="25" spans="1:30" hidden="1">
      <c r="A25" s="7">
        <f t="shared" si="34"/>
        <v>490</v>
      </c>
      <c r="B25" s="3">
        <f t="shared" si="34"/>
        <v>-147.37104688888888</v>
      </c>
      <c r="D25" s="1">
        <f t="shared" si="33"/>
        <v>19</v>
      </c>
      <c r="E25" s="2">
        <f t="shared" si="35"/>
        <v>10</v>
      </c>
      <c r="F25" s="2">
        <f t="shared" si="35"/>
        <v>10</v>
      </c>
      <c r="G25" s="2">
        <f t="shared" si="4"/>
        <v>7.0710678118654746</v>
      </c>
      <c r="H25" s="2">
        <f t="shared" si="27"/>
        <v>-13.888888888888889</v>
      </c>
      <c r="I25" s="2">
        <f t="shared" si="22"/>
        <v>175</v>
      </c>
      <c r="J25" s="20">
        <f t="shared" si="23"/>
        <v>133.482158</v>
      </c>
      <c r="K25" s="2">
        <f t="shared" si="28"/>
        <v>175</v>
      </c>
      <c r="L25" s="2">
        <f t="shared" si="24"/>
        <v>220.09653905579017</v>
      </c>
      <c r="M25" s="2">
        <f t="shared" si="29"/>
        <v>1.3110366405673484</v>
      </c>
      <c r="N25" s="2">
        <f t="shared" si="30"/>
        <v>52.665234941583449</v>
      </c>
      <c r="P25" s="4">
        <f t="shared" si="9"/>
        <v>0.58086966408542284</v>
      </c>
      <c r="Q25" s="4">
        <f t="shared" si="10"/>
        <v>0.77051662700790435</v>
      </c>
      <c r="R25" s="4">
        <f t="shared" si="11"/>
        <v>3.5008120996059527E-3</v>
      </c>
      <c r="S25" s="4">
        <f t="shared" si="25"/>
        <v>0.69753801533875825</v>
      </c>
      <c r="T25" s="2">
        <f t="shared" si="26"/>
        <v>287.82370733547464</v>
      </c>
      <c r="U25" s="6">
        <f t="shared" si="12"/>
        <v>0.53340186761253328</v>
      </c>
      <c r="V25" s="4">
        <f t="shared" si="13"/>
        <v>0.9182815020171049</v>
      </c>
      <c r="W25" s="4">
        <f t="shared" si="14"/>
        <v>0.99572411874173394</v>
      </c>
      <c r="X25" s="3">
        <f t="shared" si="15"/>
        <v>28.038063692698522</v>
      </c>
      <c r="Y25" s="8">
        <f t="shared" si="31"/>
        <v>22.293222634357278</v>
      </c>
      <c r="Z25" s="3">
        <f t="shared" si="32"/>
        <v>17.004271234334023</v>
      </c>
      <c r="AA25" s="3">
        <f t="shared" si="18"/>
        <v>6171.0807805887525</v>
      </c>
      <c r="AB25" s="3"/>
      <c r="AC25" s="3"/>
      <c r="AD25" s="3"/>
    </row>
    <row r="26" spans="1:30" hidden="1">
      <c r="A26" s="7">
        <f t="shared" si="34"/>
        <v>490</v>
      </c>
      <c r="B26" s="3">
        <f t="shared" si="34"/>
        <v>-147.37104688888888</v>
      </c>
      <c r="D26" s="1">
        <f t="shared" si="33"/>
        <v>20</v>
      </c>
      <c r="E26" s="2">
        <f t="shared" si="35"/>
        <v>10</v>
      </c>
      <c r="F26" s="2">
        <f t="shared" si="35"/>
        <v>10</v>
      </c>
      <c r="G26" s="2">
        <f t="shared" si="4"/>
        <v>7.0710678118654746</v>
      </c>
      <c r="H26" s="2">
        <f t="shared" si="27"/>
        <v>-13.888888888888889</v>
      </c>
      <c r="I26" s="2">
        <f t="shared" si="22"/>
        <v>165</v>
      </c>
      <c r="J26" s="20">
        <f t="shared" si="23"/>
        <v>133.482158</v>
      </c>
      <c r="K26" s="2">
        <f t="shared" si="28"/>
        <v>165</v>
      </c>
      <c r="L26" s="2">
        <f t="shared" si="24"/>
        <v>212.23215238115304</v>
      </c>
      <c r="M26" s="2">
        <f t="shared" si="29"/>
        <v>1.2361202611063571</v>
      </c>
      <c r="N26" s="2">
        <f t="shared" si="30"/>
        <v>51.027737676789151</v>
      </c>
      <c r="P26" s="4">
        <f t="shared" si="9"/>
        <v>0.58655034472332623</v>
      </c>
      <c r="Q26" s="4">
        <f t="shared" si="10"/>
        <v>0.78482630526338504</v>
      </c>
      <c r="R26" s="4">
        <f t="shared" si="11"/>
        <v>3.6979613901945252E-3</v>
      </c>
      <c r="S26" s="4">
        <f t="shared" si="25"/>
        <v>0.69753801533875825</v>
      </c>
      <c r="T26" s="2">
        <f t="shared" si="26"/>
        <v>287.82370733547464</v>
      </c>
      <c r="U26" s="6">
        <f t="shared" si="12"/>
        <v>0.51434260135657794</v>
      </c>
      <c r="V26" s="4">
        <f t="shared" si="13"/>
        <v>0.8768942103327747</v>
      </c>
      <c r="W26" s="4">
        <f t="shared" si="14"/>
        <v>0.99214320053843386</v>
      </c>
      <c r="X26" s="3">
        <f t="shared" si="15"/>
        <v>27.695058397533945</v>
      </c>
      <c r="Y26" s="8">
        <f t="shared" si="31"/>
        <v>21.531537914134184</v>
      </c>
      <c r="Z26" s="3">
        <f t="shared" si="32"/>
        <v>17.418643308105757</v>
      </c>
      <c r="AA26" s="3">
        <f t="shared" si="18"/>
        <v>5877.781854030356</v>
      </c>
      <c r="AB26" s="3"/>
      <c r="AC26" s="3"/>
      <c r="AD26" s="3"/>
    </row>
    <row r="27" spans="1:30" hidden="1">
      <c r="A27" s="7">
        <f t="shared" si="34"/>
        <v>490</v>
      </c>
      <c r="B27" s="3">
        <f t="shared" si="34"/>
        <v>-147.37104688888888</v>
      </c>
      <c r="D27" s="1">
        <f t="shared" si="33"/>
        <v>21</v>
      </c>
      <c r="E27" s="2">
        <f t="shared" si="35"/>
        <v>10</v>
      </c>
      <c r="F27" s="2">
        <f t="shared" si="35"/>
        <v>10</v>
      </c>
      <c r="G27" s="2">
        <f t="shared" si="4"/>
        <v>7.0710678118654746</v>
      </c>
      <c r="H27" s="2">
        <f t="shared" si="27"/>
        <v>-13.888888888888889</v>
      </c>
      <c r="I27" s="2">
        <f t="shared" si="22"/>
        <v>155</v>
      </c>
      <c r="J27" s="20">
        <f t="shared" si="23"/>
        <v>133.482158</v>
      </c>
      <c r="K27" s="2">
        <f t="shared" si="28"/>
        <v>155</v>
      </c>
      <c r="L27" s="2">
        <f t="shared" si="24"/>
        <v>204.55436075610064</v>
      </c>
      <c r="M27" s="2">
        <f t="shared" si="29"/>
        <v>1.1612038816453656</v>
      </c>
      <c r="N27" s="2">
        <f t="shared" si="30"/>
        <v>49.265784417314975</v>
      </c>
      <c r="P27" s="4">
        <f t="shared" si="9"/>
        <v>0.59292730681133954</v>
      </c>
      <c r="Q27" s="4">
        <f t="shared" si="10"/>
        <v>0.80100075236543722</v>
      </c>
      <c r="R27" s="4">
        <f t="shared" si="11"/>
        <v>3.9158331770815019E-3</v>
      </c>
      <c r="S27" s="4">
        <f t="shared" si="25"/>
        <v>0.69753801533875825</v>
      </c>
      <c r="T27" s="2">
        <f t="shared" si="26"/>
        <v>287.82370733547464</v>
      </c>
      <c r="U27" s="6">
        <f t="shared" si="12"/>
        <v>0.49573554642735568</v>
      </c>
      <c r="V27" s="4">
        <f t="shared" si="13"/>
        <v>0.83608149048377556</v>
      </c>
      <c r="W27" s="4">
        <f t="shared" si="14"/>
        <v>0.98765079523090549</v>
      </c>
      <c r="X27" s="3">
        <f t="shared" si="15"/>
        <v>27.303795222563643</v>
      </c>
      <c r="Y27" s="8">
        <f t="shared" si="31"/>
        <v>20.689308425663306</v>
      </c>
      <c r="Z27" s="3">
        <f t="shared" si="32"/>
        <v>17.817119588291103</v>
      </c>
      <c r="AA27" s="3">
        <f t="shared" si="18"/>
        <v>5585.1103779669802</v>
      </c>
      <c r="AB27" s="3"/>
      <c r="AC27" s="3"/>
      <c r="AD27" s="3"/>
    </row>
    <row r="28" spans="1:30" hidden="1">
      <c r="A28" s="7">
        <f t="shared" si="34"/>
        <v>490</v>
      </c>
      <c r="B28" s="3">
        <f t="shared" si="34"/>
        <v>-147.37104688888888</v>
      </c>
      <c r="D28" s="1">
        <f t="shared" si="33"/>
        <v>22</v>
      </c>
      <c r="E28" s="2">
        <f t="shared" si="35"/>
        <v>10</v>
      </c>
      <c r="F28" s="2">
        <f t="shared" si="35"/>
        <v>10</v>
      </c>
      <c r="G28" s="2">
        <f t="shared" si="4"/>
        <v>7.0710678118654746</v>
      </c>
      <c r="H28" s="2">
        <f t="shared" si="27"/>
        <v>-13.888888888888889</v>
      </c>
      <c r="I28" s="2">
        <f t="shared" si="22"/>
        <v>145</v>
      </c>
      <c r="J28" s="20">
        <f t="shared" si="23"/>
        <v>133.482158</v>
      </c>
      <c r="K28" s="2">
        <f t="shared" si="28"/>
        <v>145</v>
      </c>
      <c r="L28" s="2">
        <f t="shared" si="24"/>
        <v>197.08497280192867</v>
      </c>
      <c r="M28" s="2">
        <f t="shared" si="29"/>
        <v>1.0862875021843743</v>
      </c>
      <c r="N28" s="2">
        <f t="shared" si="30"/>
        <v>47.36836657152385</v>
      </c>
      <c r="P28" s="4">
        <f t="shared" si="9"/>
        <v>0.6001263328185038</v>
      </c>
      <c r="Q28" s="4">
        <f t="shared" si="10"/>
        <v>0.81939819348288034</v>
      </c>
      <c r="R28" s="4">
        <f t="shared" si="11"/>
        <v>4.1575883834957797E-3</v>
      </c>
      <c r="S28" s="4">
        <f t="shared" si="25"/>
        <v>0.69753801533875825</v>
      </c>
      <c r="T28" s="2">
        <f t="shared" si="26"/>
        <v>287.82370733547464</v>
      </c>
      <c r="U28" s="6">
        <f t="shared" si="12"/>
        <v>0.4776335558110108</v>
      </c>
      <c r="V28" s="4">
        <f t="shared" si="13"/>
        <v>0.7958883483212551</v>
      </c>
      <c r="W28" s="4">
        <f t="shared" si="14"/>
        <v>0.98226391953217052</v>
      </c>
      <c r="X28" s="3">
        <f t="shared" si="15"/>
        <v>26.863434741869579</v>
      </c>
      <c r="Y28" s="8">
        <f t="shared" si="31"/>
        <v>19.764053962073412</v>
      </c>
      <c r="Z28" s="3">
        <f t="shared" si="32"/>
        <v>18.194128094386269</v>
      </c>
      <c r="AA28" s="3">
        <f t="shared" si="18"/>
        <v>5294.3793054677517</v>
      </c>
      <c r="AB28" s="3"/>
      <c r="AC28" s="3"/>
      <c r="AD28" s="3"/>
    </row>
    <row r="29" spans="1:30" hidden="1">
      <c r="A29" s="7">
        <f t="shared" si="34"/>
        <v>490</v>
      </c>
      <c r="B29" s="3">
        <f t="shared" si="34"/>
        <v>-147.37104688888888</v>
      </c>
      <c r="D29" s="1">
        <f t="shared" si="33"/>
        <v>23</v>
      </c>
      <c r="E29" s="2">
        <f t="shared" si="35"/>
        <v>10</v>
      </c>
      <c r="F29" s="2">
        <f t="shared" si="35"/>
        <v>10</v>
      </c>
      <c r="G29" s="2">
        <f t="shared" si="4"/>
        <v>7.0710678118654746</v>
      </c>
      <c r="H29" s="2">
        <f t="shared" si="27"/>
        <v>-13.888888888888889</v>
      </c>
      <c r="I29" s="2">
        <f t="shared" si="22"/>
        <v>135</v>
      </c>
      <c r="J29" s="20">
        <f t="shared" si="23"/>
        <v>133.482158</v>
      </c>
      <c r="K29" s="2">
        <f t="shared" si="28"/>
        <v>135</v>
      </c>
      <c r="L29" s="2">
        <f t="shared" si="24"/>
        <v>189.84858836540494</v>
      </c>
      <c r="M29" s="2">
        <f t="shared" si="29"/>
        <v>1.011371122723383</v>
      </c>
      <c r="N29" s="2">
        <f t="shared" si="30"/>
        <v>45.323913569240759</v>
      </c>
      <c r="P29" s="4">
        <f t="shared" si="9"/>
        <v>0.60830372695805746</v>
      </c>
      <c r="Q29" s="4">
        <f t="shared" si="10"/>
        <v>0.84046899495611327</v>
      </c>
      <c r="R29" s="4">
        <f t="shared" si="11"/>
        <v>4.427048956184218E-3</v>
      </c>
      <c r="S29" s="4">
        <f t="shared" si="25"/>
        <v>0.69753801533875825</v>
      </c>
      <c r="T29" s="2">
        <f t="shared" si="26"/>
        <v>287.82370733547464</v>
      </c>
      <c r="U29" s="6">
        <f t="shared" si="12"/>
        <v>0.46009624700205393</v>
      </c>
      <c r="V29" s="4">
        <f t="shared" si="13"/>
        <v>0.75635940832198378</v>
      </c>
      <c r="W29" s="4">
        <f t="shared" si="14"/>
        <v>0.97599845128403917</v>
      </c>
      <c r="X29" s="3">
        <f t="shared" si="15"/>
        <v>26.37329819537776</v>
      </c>
      <c r="Y29" s="8">
        <f t="shared" si="31"/>
        <v>18.753867421564614</v>
      </c>
      <c r="Z29" s="3">
        <f t="shared" si="32"/>
        <v>18.543012550195108</v>
      </c>
      <c r="AA29" s="3">
        <f t="shared" si="18"/>
        <v>5006.9334329323492</v>
      </c>
      <c r="AB29" s="3"/>
      <c r="AC29" s="3"/>
      <c r="AD29" s="3"/>
    </row>
    <row r="30" spans="1:30" hidden="1">
      <c r="A30" s="7">
        <f t="shared" si="34"/>
        <v>490</v>
      </c>
      <c r="B30" s="3">
        <f t="shared" si="34"/>
        <v>-147.37104688888888</v>
      </c>
      <c r="D30" s="1">
        <f t="shared" si="33"/>
        <v>24</v>
      </c>
      <c r="E30" s="2">
        <f t="shared" si="35"/>
        <v>10</v>
      </c>
      <c r="F30" s="2">
        <f t="shared" si="35"/>
        <v>10</v>
      </c>
      <c r="G30" s="2">
        <f t="shared" si="4"/>
        <v>7.0710678118654746</v>
      </c>
      <c r="H30" s="2">
        <f t="shared" si="27"/>
        <v>-13.888888888888889</v>
      </c>
      <c r="I30" s="2">
        <f t="shared" si="22"/>
        <v>125</v>
      </c>
      <c r="J30" s="20">
        <f t="shared" si="23"/>
        <v>133.482158</v>
      </c>
      <c r="K30" s="2">
        <f t="shared" si="28"/>
        <v>125</v>
      </c>
      <c r="L30" s="2">
        <f t="shared" si="24"/>
        <v>182.87286978755751</v>
      </c>
      <c r="M30" s="2">
        <f t="shared" si="29"/>
        <v>0.93645474326239164</v>
      </c>
      <c r="N30" s="2">
        <f t="shared" si="30"/>
        <v>43.120498816511756</v>
      </c>
      <c r="P30" s="4">
        <f t="shared" si="9"/>
        <v>0.61765596590342664</v>
      </c>
      <c r="Q30" s="4">
        <f t="shared" si="10"/>
        <v>0.86478618799166063</v>
      </c>
      <c r="R30" s="4">
        <f t="shared" si="11"/>
        <v>4.7288927493524787E-3</v>
      </c>
      <c r="S30" s="4">
        <f t="shared" si="25"/>
        <v>0.69753801533875825</v>
      </c>
      <c r="T30" s="2">
        <f t="shared" si="26"/>
        <v>287.82370733547464</v>
      </c>
      <c r="U30" s="6">
        <f t="shared" si="12"/>
        <v>0.44319065942068769</v>
      </c>
      <c r="V30" s="4">
        <f t="shared" si="13"/>
        <v>0.71753643433597558</v>
      </c>
      <c r="W30" s="4">
        <f t="shared" si="14"/>
        <v>0.96886889661069608</v>
      </c>
      <c r="X30" s="3">
        <f t="shared" si="15"/>
        <v>25.83301705703223</v>
      </c>
      <c r="Y30" s="8">
        <f t="shared" si="31"/>
        <v>17.657770318146643</v>
      </c>
      <c r="Z30" s="3">
        <f t="shared" si="32"/>
        <v>18.855978300276483</v>
      </c>
      <c r="AA30" s="3">
        <f t="shared" si="18"/>
        <v>4724.1579644904068</v>
      </c>
      <c r="AB30" s="3"/>
      <c r="AC30" s="3"/>
      <c r="AD30" s="3"/>
    </row>
    <row r="31" spans="1:30" hidden="1">
      <c r="A31" s="7">
        <f t="shared" si="34"/>
        <v>490</v>
      </c>
      <c r="B31" s="3">
        <f t="shared" si="34"/>
        <v>-147.37104688888888</v>
      </c>
      <c r="D31" s="1">
        <f t="shared" si="33"/>
        <v>25</v>
      </c>
      <c r="E31" s="2">
        <f t="shared" si="35"/>
        <v>10</v>
      </c>
      <c r="F31" s="2">
        <f t="shared" si="35"/>
        <v>10</v>
      </c>
      <c r="G31" s="2">
        <f t="shared" si="4"/>
        <v>7.0710678118654746</v>
      </c>
      <c r="H31" s="2">
        <f t="shared" si="27"/>
        <v>-13.888888888888889</v>
      </c>
      <c r="I31" s="2">
        <f t="shared" si="22"/>
        <v>115</v>
      </c>
      <c r="J31" s="20">
        <f t="shared" si="23"/>
        <v>133.482158</v>
      </c>
      <c r="K31" s="2">
        <f t="shared" si="28"/>
        <v>115</v>
      </c>
      <c r="L31" s="2">
        <f t="shared" si="24"/>
        <v>176.18878086965969</v>
      </c>
      <c r="M31" s="2">
        <f t="shared" si="29"/>
        <v>0.86153836380140036</v>
      </c>
      <c r="N31" s="2">
        <f t="shared" si="30"/>
        <v>40.746160349688736</v>
      </c>
      <c r="P31" s="4">
        <f t="shared" si="9"/>
        <v>0.62843333033245952</v>
      </c>
      <c r="Q31" s="4">
        <f t="shared" si="10"/>
        <v>0.89308887642182877</v>
      </c>
      <c r="R31" s="4">
        <f t="shared" si="11"/>
        <v>5.0689315858454967E-3</v>
      </c>
      <c r="S31" s="4">
        <f t="shared" si="25"/>
        <v>0.69753801533875825</v>
      </c>
      <c r="T31" s="2">
        <f t="shared" si="26"/>
        <v>287.82370733547464</v>
      </c>
      <c r="U31" s="6">
        <f t="shared" si="12"/>
        <v>0.42699183354459702</v>
      </c>
      <c r="V31" s="4">
        <f t="shared" si="13"/>
        <v>0.67945446706129653</v>
      </c>
      <c r="W31" s="4">
        <f t="shared" si="14"/>
        <v>0.96088745235376261</v>
      </c>
      <c r="X31" s="3">
        <f t="shared" si="15"/>
        <v>25.24272093459081</v>
      </c>
      <c r="Y31" s="8">
        <f t="shared" si="31"/>
        <v>16.47615071260099</v>
      </c>
      <c r="Z31" s="3">
        <f t="shared" si="32"/>
        <v>19.12410567522798</v>
      </c>
      <c r="AA31" s="3">
        <f t="shared" si="18"/>
        <v>4447.4842272985916</v>
      </c>
      <c r="AB31" s="3"/>
      <c r="AC31" s="3"/>
      <c r="AD31" s="3"/>
    </row>
    <row r="32" spans="1:30" hidden="1">
      <c r="A32" s="7">
        <f t="shared" si="34"/>
        <v>490</v>
      </c>
      <c r="B32" s="3">
        <f t="shared" si="34"/>
        <v>-147.37104688888888</v>
      </c>
      <c r="D32" s="1">
        <f t="shared" si="33"/>
        <v>26</v>
      </c>
      <c r="E32" s="2">
        <f t="shared" si="35"/>
        <v>10</v>
      </c>
      <c r="F32" s="2">
        <f t="shared" si="35"/>
        <v>10</v>
      </c>
      <c r="G32" s="2">
        <f t="shared" si="4"/>
        <v>7.0710678118654746</v>
      </c>
      <c r="H32" s="2">
        <f t="shared" si="27"/>
        <v>-13.888888888888889</v>
      </c>
      <c r="I32" s="2">
        <f t="shared" si="22"/>
        <v>105</v>
      </c>
      <c r="J32" s="20">
        <f t="shared" si="23"/>
        <v>133.482158</v>
      </c>
      <c r="K32" s="2">
        <f t="shared" si="28"/>
        <v>105</v>
      </c>
      <c r="L32" s="2">
        <f t="shared" si="24"/>
        <v>169.8307584165394</v>
      </c>
      <c r="M32" s="2">
        <f t="shared" si="29"/>
        <v>0.78662198434040898</v>
      </c>
      <c r="N32" s="2">
        <f t="shared" si="30"/>
        <v>38.189368343975701</v>
      </c>
      <c r="P32" s="4">
        <f t="shared" si="9"/>
        <v>0.64095967642559815</v>
      </c>
      <c r="Q32" s="4">
        <f t="shared" si="10"/>
        <v>0.92634546173369481</v>
      </c>
      <c r="R32" s="4">
        <f t="shared" si="11"/>
        <v>5.4545211384010419E-3</v>
      </c>
      <c r="S32" s="4">
        <f t="shared" si="25"/>
        <v>0.69753801533875825</v>
      </c>
      <c r="T32" s="2">
        <f t="shared" si="26"/>
        <v>287.82370733547464</v>
      </c>
      <c r="U32" s="6">
        <f t="shared" si="12"/>
        <v>0.41158322664252694</v>
      </c>
      <c r="V32" s="4">
        <f t="shared" si="13"/>
        <v>0.64213591241461354</v>
      </c>
      <c r="W32" s="4">
        <f t="shared" si="14"/>
        <v>0.95206188661619506</v>
      </c>
      <c r="X32" s="3">
        <f t="shared" si="15"/>
        <v>24.603263612544463</v>
      </c>
      <c r="Y32" s="8">
        <f t="shared" si="31"/>
        <v>15.211276822900786</v>
      </c>
      <c r="Z32" s="3">
        <f t="shared" si="32"/>
        <v>19.337467202439822</v>
      </c>
      <c r="AA32" s="3">
        <f t="shared" si="18"/>
        <v>4178.3909188404732</v>
      </c>
      <c r="AB32" s="3"/>
      <c r="AC32" s="3"/>
      <c r="AD32" s="3"/>
    </row>
    <row r="33" spans="1:30" hidden="1">
      <c r="A33" s="7">
        <f t="shared" si="34"/>
        <v>490</v>
      </c>
      <c r="B33" s="3">
        <f t="shared" si="34"/>
        <v>-147.37104688888888</v>
      </c>
      <c r="D33" s="1">
        <f t="shared" si="33"/>
        <v>27</v>
      </c>
      <c r="E33" s="2">
        <f t="shared" si="35"/>
        <v>10</v>
      </c>
      <c r="F33" s="2">
        <f t="shared" si="35"/>
        <v>10</v>
      </c>
      <c r="G33" s="2">
        <f t="shared" si="4"/>
        <v>7.0710678118654746</v>
      </c>
      <c r="H33" s="2">
        <f t="shared" si="27"/>
        <v>-13.888888888888889</v>
      </c>
      <c r="I33" s="2">
        <f t="shared" si="22"/>
        <v>95</v>
      </c>
      <c r="J33" s="20">
        <f t="shared" si="23"/>
        <v>133.482158</v>
      </c>
      <c r="K33" s="2">
        <f t="shared" si="28"/>
        <v>95</v>
      </c>
      <c r="L33" s="2">
        <f t="shared" si="24"/>
        <v>163.83676786465534</v>
      </c>
      <c r="M33" s="2">
        <f t="shared" si="29"/>
        <v>0.7117056048794177</v>
      </c>
      <c r="N33" s="2">
        <f t="shared" si="30"/>
        <v>35.439671266255068</v>
      </c>
      <c r="P33" s="4">
        <f t="shared" si="9"/>
        <v>0.65566203533258749</v>
      </c>
      <c r="Q33" s="4">
        <f t="shared" si="10"/>
        <v>0.96584836299360166</v>
      </c>
      <c r="R33" s="4">
        <f t="shared" si="11"/>
        <v>5.895186871554276E-3</v>
      </c>
      <c r="S33" s="4">
        <f t="shared" si="25"/>
        <v>0.69753801533875825</v>
      </c>
      <c r="T33" s="2">
        <f t="shared" si="26"/>
        <v>287.82370733547464</v>
      </c>
      <c r="U33" s="6">
        <f t="shared" si="12"/>
        <v>0.3970568475883956</v>
      </c>
      <c r="V33" s="4">
        <f t="shared" si="13"/>
        <v>0.60558157433499527</v>
      </c>
      <c r="W33" s="4">
        <f t="shared" si="14"/>
        <v>0.94239144017063625</v>
      </c>
      <c r="X33" s="3">
        <f t="shared" si="15"/>
        <v>23.916476937155814</v>
      </c>
      <c r="Y33" s="8">
        <f t="shared" si="31"/>
        <v>13.867859691340733</v>
      </c>
      <c r="Z33" s="3">
        <f t="shared" si="32"/>
        <v>19.485387773067099</v>
      </c>
      <c r="AA33" s="3">
        <f t="shared" si="18"/>
        <v>3918.3982800931803</v>
      </c>
      <c r="AB33" s="3"/>
      <c r="AC33" s="3"/>
      <c r="AD33" s="3"/>
    </row>
    <row r="34" spans="1:30" hidden="1">
      <c r="A34" s="7">
        <f t="shared" si="34"/>
        <v>490</v>
      </c>
      <c r="B34" s="3">
        <f t="shared" si="34"/>
        <v>-147.37104688888888</v>
      </c>
      <c r="D34" s="1">
        <f t="shared" si="33"/>
        <v>28</v>
      </c>
      <c r="E34" s="2">
        <f t="shared" si="35"/>
        <v>10</v>
      </c>
      <c r="F34" s="2">
        <f t="shared" si="35"/>
        <v>10</v>
      </c>
      <c r="G34" s="2">
        <f t="shared" si="4"/>
        <v>7.0710678118654746</v>
      </c>
      <c r="H34" s="2">
        <f t="shared" si="27"/>
        <v>-13.888888888888889</v>
      </c>
      <c r="I34" s="2">
        <f t="shared" si="22"/>
        <v>85</v>
      </c>
      <c r="J34" s="20">
        <f t="shared" si="23"/>
        <v>133.482158</v>
      </c>
      <c r="K34" s="2">
        <f t="shared" si="28"/>
        <v>85</v>
      </c>
      <c r="L34" s="2">
        <f t="shared" si="24"/>
        <v>158.24818009802502</v>
      </c>
      <c r="M34" s="2">
        <f t="shared" si="29"/>
        <v>0.63678922541842631</v>
      </c>
      <c r="N34" s="2">
        <f t="shared" si="30"/>
        <v>32.488544940915929</v>
      </c>
      <c r="P34" s="4">
        <f t="shared" si="9"/>
        <v>0.67311664039316188</v>
      </c>
      <c r="Q34" s="4">
        <f t="shared" si="10"/>
        <v>1.0133607377032259</v>
      </c>
      <c r="R34" s="4">
        <f t="shared" si="11"/>
        <v>6.403617008900268E-3</v>
      </c>
      <c r="S34" s="4">
        <f t="shared" si="25"/>
        <v>0.69753801533875825</v>
      </c>
      <c r="T34" s="2">
        <f t="shared" si="26"/>
        <v>287.82370733547464</v>
      </c>
      <c r="U34" s="6">
        <f t="shared" si="12"/>
        <v>0.38351295832586813</v>
      </c>
      <c r="V34" s="4">
        <f t="shared" si="13"/>
        <v>0.56975706038386065</v>
      </c>
      <c r="W34" s="4">
        <f t="shared" si="14"/>
        <v>0.93185939891801106</v>
      </c>
      <c r="X34" s="3">
        <f t="shared" si="15"/>
        <v>23.18542318697175</v>
      </c>
      <c r="Y34" s="8">
        <f t="shared" si="31"/>
        <v>12.453609069449225</v>
      </c>
      <c r="Z34" s="3">
        <f t="shared" si="32"/>
        <v>19.556877805628876</v>
      </c>
      <c r="AA34" s="3">
        <f t="shared" si="18"/>
        <v>3669.0510241408306</v>
      </c>
      <c r="AB34" s="3"/>
      <c r="AC34" s="3"/>
      <c r="AD34" s="3"/>
    </row>
    <row r="35" spans="1:30" hidden="1">
      <c r="A35" s="7">
        <f t="shared" si="34"/>
        <v>490</v>
      </c>
      <c r="B35" s="3">
        <f t="shared" si="34"/>
        <v>-147.37104688888888</v>
      </c>
      <c r="D35" s="1">
        <f t="shared" si="33"/>
        <v>29</v>
      </c>
      <c r="E35" s="2">
        <f t="shared" si="35"/>
        <v>10</v>
      </c>
      <c r="F35" s="2">
        <f t="shared" si="35"/>
        <v>10</v>
      </c>
      <c r="G35" s="2">
        <f t="shared" si="4"/>
        <v>7.0710678118654746</v>
      </c>
      <c r="H35" s="2">
        <f t="shared" si="27"/>
        <v>-13.888888888888889</v>
      </c>
      <c r="I35" s="2">
        <f t="shared" si="22"/>
        <v>75</v>
      </c>
      <c r="J35" s="20">
        <f t="shared" si="23"/>
        <v>133.482158</v>
      </c>
      <c r="K35" s="2">
        <f t="shared" si="28"/>
        <v>75</v>
      </c>
      <c r="L35" s="2">
        <f t="shared" si="24"/>
        <v>153.1093939127739</v>
      </c>
      <c r="M35" s="2">
        <f t="shared" si="29"/>
        <v>0.56187284595743503</v>
      </c>
      <c r="N35" s="2">
        <f t="shared" si="30"/>
        <v>29.330449730535278</v>
      </c>
      <c r="P35" s="4">
        <f t="shared" si="9"/>
        <v>0.6941238466152132</v>
      </c>
      <c r="Q35" s="4">
        <f t="shared" si="10"/>
        <v>1.071352990896969</v>
      </c>
      <c r="R35" s="4">
        <f t="shared" si="11"/>
        <v>6.9973041073320202E-3</v>
      </c>
      <c r="S35" s="4">
        <f t="shared" si="25"/>
        <v>0.69753801533875825</v>
      </c>
      <c r="T35" s="2">
        <f t="shared" si="26"/>
        <v>287.82370733547464</v>
      </c>
      <c r="U35" s="6">
        <f t="shared" si="12"/>
        <v>0.37105915891478503</v>
      </c>
      <c r="V35" s="4">
        <f t="shared" si="13"/>
        <v>0.53457197980475268</v>
      </c>
      <c r="W35" s="4">
        <f t="shared" si="14"/>
        <v>0.92041997796982966</v>
      </c>
      <c r="X35" s="3">
        <f t="shared" si="15"/>
        <v>22.414582823322345</v>
      </c>
      <c r="Y35" s="8">
        <f t="shared" si="31"/>
        <v>10.979690199197652</v>
      </c>
      <c r="Z35" s="3">
        <f t="shared" si="32"/>
        <v>19.541236559471361</v>
      </c>
      <c r="AA35" s="3">
        <f t="shared" si="18"/>
        <v>3431.8831908865563</v>
      </c>
      <c r="AB35" s="3"/>
      <c r="AC35" s="3"/>
      <c r="AD35" s="3"/>
    </row>
    <row r="36" spans="1:30" hidden="1">
      <c r="A36" s="7">
        <f t="shared" ref="A36:B40" si="36">A35</f>
        <v>490</v>
      </c>
      <c r="B36" s="3">
        <f t="shared" si="36"/>
        <v>-147.37104688888888</v>
      </c>
      <c r="D36" s="1">
        <f t="shared" si="33"/>
        <v>30</v>
      </c>
      <c r="E36" s="2">
        <f t="shared" si="35"/>
        <v>10</v>
      </c>
      <c r="F36" s="2">
        <f t="shared" si="35"/>
        <v>10</v>
      </c>
      <c r="G36" s="2">
        <f t="shared" si="4"/>
        <v>7.0710678118654746</v>
      </c>
      <c r="H36" s="2">
        <f t="shared" si="27"/>
        <v>-13.888888888888889</v>
      </c>
      <c r="I36" s="2">
        <f t="shared" si="22"/>
        <v>65</v>
      </c>
      <c r="J36" s="20">
        <f t="shared" si="23"/>
        <v>133.482158</v>
      </c>
      <c r="K36" s="2">
        <f t="shared" si="28"/>
        <v>65</v>
      </c>
      <c r="L36" s="2">
        <f t="shared" si="24"/>
        <v>148.46712263776436</v>
      </c>
      <c r="M36" s="2">
        <f t="shared" si="29"/>
        <v>0.4869564664964437</v>
      </c>
      <c r="N36" s="2">
        <f t="shared" si="30"/>
        <v>25.964065979742728</v>
      </c>
      <c r="P36" s="4">
        <f t="shared" si="9"/>
        <v>0.7198370305754388</v>
      </c>
      <c r="Q36" s="4">
        <f t="shared" si="10"/>
        <v>1.1434027491723866</v>
      </c>
      <c r="R36" s="4">
        <f t="shared" si="11"/>
        <v>7.7013868717729743E-3</v>
      </c>
      <c r="S36" s="4">
        <f t="shared" si="25"/>
        <v>0.69753801533875825</v>
      </c>
      <c r="T36" s="2">
        <f t="shared" si="26"/>
        <v>287.82370733547464</v>
      </c>
      <c r="U36" s="6">
        <f t="shared" si="12"/>
        <v>0.35980865866304579</v>
      </c>
      <c r="V36" s="4">
        <f t="shared" si="13"/>
        <v>0.49984738681117058</v>
      </c>
      <c r="W36" s="4">
        <f t="shared" si="14"/>
        <v>0.90797516430090075</v>
      </c>
      <c r="X36" s="3">
        <f t="shared" si="15"/>
        <v>21.609855704873027</v>
      </c>
      <c r="Y36" s="8">
        <f t="shared" si="31"/>
        <v>9.4609540203984537</v>
      </c>
      <c r="Z36" s="3">
        <f t="shared" si="32"/>
        <v>19.428747067408636</v>
      </c>
      <c r="AA36" s="3">
        <f t="shared" si="18"/>
        <v>3208.3530971197756</v>
      </c>
      <c r="AB36" s="3"/>
      <c r="AC36" s="3"/>
      <c r="AD36" s="3"/>
    </row>
    <row r="37" spans="1:30" hidden="1">
      <c r="A37" s="7">
        <f t="shared" si="36"/>
        <v>490</v>
      </c>
      <c r="B37" s="3">
        <f t="shared" si="36"/>
        <v>-147.37104688888888</v>
      </c>
      <c r="D37" s="1">
        <f t="shared" si="33"/>
        <v>31</v>
      </c>
      <c r="E37" s="2">
        <f t="shared" ref="E37:F40" si="37">E36</f>
        <v>10</v>
      </c>
      <c r="F37" s="2">
        <f t="shared" si="37"/>
        <v>10</v>
      </c>
      <c r="G37" s="2">
        <f t="shared" si="4"/>
        <v>7.0710678118654746</v>
      </c>
      <c r="H37" s="2">
        <f t="shared" si="27"/>
        <v>-13.888888888888889</v>
      </c>
      <c r="I37" s="2">
        <f t="shared" si="22"/>
        <v>55</v>
      </c>
      <c r="J37" s="20">
        <f t="shared" si="23"/>
        <v>133.482158</v>
      </c>
      <c r="K37" s="2">
        <f t="shared" si="28"/>
        <v>55</v>
      </c>
      <c r="L37" s="2">
        <f t="shared" si="24"/>
        <v>144.36927132993699</v>
      </c>
      <c r="M37" s="2">
        <f t="shared" si="29"/>
        <v>0.41204008703545236</v>
      </c>
      <c r="N37" s="2">
        <f t="shared" si="30"/>
        <v>22.393624552707713</v>
      </c>
      <c r="P37" s="4">
        <f t="shared" si="9"/>
        <v>0.75200003160068862</v>
      </c>
      <c r="Q37" s="4">
        <f t="shared" si="10"/>
        <v>1.2349119723406874</v>
      </c>
      <c r="R37" s="4">
        <f t="shared" si="11"/>
        <v>8.5538422474853281E-3</v>
      </c>
      <c r="S37" s="4">
        <f t="shared" si="25"/>
        <v>0.69753801533875825</v>
      </c>
      <c r="T37" s="2">
        <f t="shared" si="26"/>
        <v>287.82370733547464</v>
      </c>
      <c r="U37" s="6">
        <f t="shared" si="12"/>
        <v>0.34987755502020507</v>
      </c>
      <c r="V37" s="4">
        <f t="shared" si="13"/>
        <v>0.46526268659253162</v>
      </c>
      <c r="W37" s="4">
        <f t="shared" si="14"/>
        <v>0.89433282457546048</v>
      </c>
      <c r="X37" s="3">
        <f t="shared" si="15"/>
        <v>20.778146493424202</v>
      </c>
      <c r="Y37" s="8">
        <f t="shared" si="31"/>
        <v>7.9157984702064219</v>
      </c>
      <c r="Z37" s="3">
        <f t="shared" si="32"/>
        <v>19.21123385629549</v>
      </c>
      <c r="AA37" s="3">
        <f t="shared" si="18"/>
        <v>2999.7258688423376</v>
      </c>
      <c r="AB37" s="3"/>
      <c r="AC37" s="3"/>
      <c r="AD37" s="3"/>
    </row>
    <row r="38" spans="1:30" hidden="1">
      <c r="A38" s="7">
        <f t="shared" si="36"/>
        <v>490</v>
      </c>
      <c r="B38" s="3">
        <f t="shared" si="36"/>
        <v>-147.37104688888888</v>
      </c>
      <c r="D38" s="1">
        <f t="shared" si="33"/>
        <v>32</v>
      </c>
      <c r="E38" s="2">
        <f t="shared" si="37"/>
        <v>10</v>
      </c>
      <c r="F38" s="2">
        <f t="shared" si="37"/>
        <v>10</v>
      </c>
      <c r="G38" s="2">
        <f t="shared" si="4"/>
        <v>7.0710678118654746</v>
      </c>
      <c r="H38" s="2">
        <f t="shared" si="27"/>
        <v>-13.888888888888889</v>
      </c>
      <c r="I38" s="2">
        <f t="shared" si="22"/>
        <v>45</v>
      </c>
      <c r="J38" s="20">
        <f t="shared" si="23"/>
        <v>133.482158</v>
      </c>
      <c r="K38" s="2">
        <f t="shared" si="28"/>
        <v>45</v>
      </c>
      <c r="L38" s="2">
        <f t="shared" si="24"/>
        <v>140.86336111401349</v>
      </c>
      <c r="M38" s="2">
        <f t="shared" si="29"/>
        <v>0.33712370757446103</v>
      </c>
      <c r="N38" s="2">
        <f t="shared" si="30"/>
        <v>18.630181267367647</v>
      </c>
      <c r="P38" s="4">
        <f t="shared" si="9"/>
        <v>0.79342396145067773</v>
      </c>
      <c r="Q38" s="4">
        <f t="shared" si="10"/>
        <v>1.3544893631133674</v>
      </c>
      <c r="R38" s="4">
        <f t="shared" si="11"/>
        <v>9.61562575535207E-3</v>
      </c>
      <c r="S38" s="4">
        <f t="shared" si="25"/>
        <v>0.69753801533875825</v>
      </c>
      <c r="T38" s="2">
        <f t="shared" si="26"/>
        <v>287.82370733547464</v>
      </c>
      <c r="U38" s="6">
        <f t="shared" si="12"/>
        <v>0.34138101497973933</v>
      </c>
      <c r="V38" s="4">
        <f t="shared" si="13"/>
        <v>0.43026305174293739</v>
      </c>
      <c r="W38" s="4">
        <f t="shared" si="14"/>
        <v>0.87912677224290281</v>
      </c>
      <c r="X38" s="3">
        <f t="shared" si="15"/>
        <v>19.926081246983809</v>
      </c>
      <c r="Y38" s="8">
        <f t="shared" si="31"/>
        <v>6.3655563023837844</v>
      </c>
      <c r="Z38" s="3">
        <f t="shared" si="32"/>
        <v>18.881959824726401</v>
      </c>
      <c r="AA38" s="3">
        <f t="shared" si="18"/>
        <v>2806.8547782810524</v>
      </c>
      <c r="AB38" s="3"/>
      <c r="AC38" s="3"/>
      <c r="AD38" s="3"/>
    </row>
    <row r="39" spans="1:30" hidden="1">
      <c r="A39" s="7">
        <f t="shared" si="36"/>
        <v>490</v>
      </c>
      <c r="B39" s="3">
        <f t="shared" si="36"/>
        <v>-147.37104688888888</v>
      </c>
      <c r="D39" s="1">
        <f t="shared" si="33"/>
        <v>33</v>
      </c>
      <c r="E39" s="2">
        <f t="shared" si="37"/>
        <v>10</v>
      </c>
      <c r="F39" s="2">
        <f t="shared" si="37"/>
        <v>10</v>
      </c>
      <c r="G39" s="2">
        <f>F39/SQRT(2)</f>
        <v>7.0710678118654746</v>
      </c>
      <c r="H39" s="2">
        <f t="shared" si="27"/>
        <v>-13.888888888888889</v>
      </c>
      <c r="I39" s="2">
        <f t="shared" si="22"/>
        <v>35</v>
      </c>
      <c r="J39" s="20">
        <f>H39-B39</f>
        <v>133.482158</v>
      </c>
      <c r="K39" s="2">
        <f>I39</f>
        <v>35</v>
      </c>
      <c r="L39" s="2">
        <f>SQRT(J39^2+K39^2)</f>
        <v>137.99451621110515</v>
      </c>
      <c r="M39" s="2">
        <f>IF(J39=0,"infinity",ABS(K39/J39))</f>
        <v>0.2622073281134697</v>
      </c>
      <c r="N39" s="2">
        <f>IF(J39=0,90,ATAN(M39)*180/PI())</f>
        <v>14.692614900960894</v>
      </c>
      <c r="P39" s="4">
        <f>0.209 * (N39+2)^-0.32 * F39</f>
        <v>0.84906020524317161</v>
      </c>
      <c r="Q39" s="4">
        <f>MIN(1.087*(N39+6)^-0.65 * F39, 0.17*F39)</f>
        <v>1.5168741491549906</v>
      </c>
      <c r="R39" s="4">
        <f>Q39/L39</f>
        <v>1.0992278467315788E-2</v>
      </c>
      <c r="S39" s="4">
        <f t="shared" si="25"/>
        <v>0.69753801533875825</v>
      </c>
      <c r="T39" s="2">
        <f t="shared" si="26"/>
        <v>287.82370733547464</v>
      </c>
      <c r="U39" s="6">
        <f>S39*L39/T39</f>
        <v>0.33442839666203777</v>
      </c>
      <c r="V39" s="4">
        <f>U39/P39</f>
        <v>0.39388066311064146</v>
      </c>
      <c r="W39" s="4">
        <f>POWER(V39*(1.9-0.9*V39),0.3)</f>
        <v>0.86164966805536347</v>
      </c>
      <c r="X39" s="3">
        <f>0.6*A39*G39*E39*(1+0.5*SIN(N39*PI()/180)^1.5)*W39/1000</f>
        <v>19.056825804719313</v>
      </c>
      <c r="Y39" s="8">
        <f>X39*SIN(N39*PI()/180)</f>
        <v>4.8334449909937796</v>
      </c>
      <c r="Z39" s="3">
        <f>X39*COS(N39*PI()/180)</f>
        <v>18.433676227775429</v>
      </c>
      <c r="AA39" s="3">
        <f>L39*X39</f>
        <v>2629.7374574415462</v>
      </c>
      <c r="AB39" s="3"/>
      <c r="AC39" s="3"/>
      <c r="AD39" s="3"/>
    </row>
    <row r="40" spans="1:30" hidden="1">
      <c r="A40" s="7">
        <f t="shared" si="36"/>
        <v>490</v>
      </c>
      <c r="B40" s="3">
        <f t="shared" si="36"/>
        <v>-147.37104688888888</v>
      </c>
      <c r="D40" s="1">
        <f t="shared" si="33"/>
        <v>34</v>
      </c>
      <c r="E40" s="2">
        <f t="shared" si="37"/>
        <v>10</v>
      </c>
      <c r="F40" s="2">
        <f t="shared" si="37"/>
        <v>10</v>
      </c>
      <c r="G40" s="2">
        <f>F40/SQRT(2)</f>
        <v>7.0710678118654746</v>
      </c>
      <c r="H40" s="2">
        <f t="shared" si="27"/>
        <v>-13.888888888888889</v>
      </c>
      <c r="I40" s="2">
        <f t="shared" si="22"/>
        <v>25</v>
      </c>
      <c r="J40" s="20">
        <f>H40-B40</f>
        <v>133.482158</v>
      </c>
      <c r="K40" s="2">
        <f>I40</f>
        <v>25</v>
      </c>
      <c r="L40" s="2">
        <f>SQRT(J40^2+K40^2)</f>
        <v>135.80311669596159</v>
      </c>
      <c r="M40" s="2">
        <f>IF(J40=0,"infinity",ABS(K40/J40))</f>
        <v>0.18729094865247833</v>
      </c>
      <c r="N40" s="2">
        <f>IF(J40=0,90,ATAN(M40)*180/PI())</f>
        <v>10.608083870082334</v>
      </c>
      <c r="P40" s="4">
        <f>0.209 * (N40+2)^-0.32 * F40</f>
        <v>0.92883501205731234</v>
      </c>
      <c r="Q40" s="4">
        <f>MIN(1.087*(N40+6)^-0.65 * F40, 0.17*F40)</f>
        <v>1.7000000000000002</v>
      </c>
      <c r="R40" s="4">
        <f>Q40/L40</f>
        <v>1.2518122126799123E-2</v>
      </c>
      <c r="S40" s="4">
        <f t="shared" si="25"/>
        <v>0.69753801533875825</v>
      </c>
      <c r="T40" s="2">
        <f t="shared" si="26"/>
        <v>287.82370733547464</v>
      </c>
      <c r="U40" s="6">
        <f>S40*L40/T40</f>
        <v>0.32911756079393506</v>
      </c>
      <c r="V40" s="4">
        <f>U40/P40</f>
        <v>0.35433371537638308</v>
      </c>
      <c r="W40" s="4">
        <f>POWER(V40*(1.9-0.9*V40),0.3)</f>
        <v>0.84044929396393053</v>
      </c>
      <c r="X40" s="3">
        <f>0.6*A40*G40*E40*(1+0.5*SIN(N40*PI()/180)^1.5)*W40/1000</f>
        <v>18.162065571479413</v>
      </c>
      <c r="Y40" s="8">
        <f>X40*SIN(N40*PI()/180)</f>
        <v>3.3434552190987192</v>
      </c>
      <c r="Z40" s="3">
        <f>X40*COS(N40*PI()/180)</f>
        <v>17.851664712866398</v>
      </c>
      <c r="AA40" s="3">
        <f>L40*X40</f>
        <v>2466.4651102433249</v>
      </c>
      <c r="AB40" s="3"/>
      <c r="AC40" s="3"/>
      <c r="AD40" s="3"/>
    </row>
    <row r="41" spans="1:30" hidden="1">
      <c r="A41" s="7">
        <f>A40</f>
        <v>490</v>
      </c>
      <c r="B41" s="3">
        <f>B40</f>
        <v>-147.37104688888888</v>
      </c>
      <c r="D41" s="1">
        <f t="shared" si="33"/>
        <v>35</v>
      </c>
      <c r="E41" s="2">
        <f>E40</f>
        <v>10</v>
      </c>
      <c r="F41" s="2">
        <f>F40</f>
        <v>10</v>
      </c>
      <c r="G41" s="2">
        <f>F41/SQRT(2)</f>
        <v>7.0710678118654746</v>
      </c>
      <c r="H41" s="2">
        <f t="shared" si="27"/>
        <v>-13.888888888888889</v>
      </c>
      <c r="I41" s="2">
        <f t="shared" si="22"/>
        <v>15</v>
      </c>
      <c r="J41" s="20">
        <f>H41-B41</f>
        <v>133.482158</v>
      </c>
      <c r="K41" s="2">
        <f>I41</f>
        <v>15</v>
      </c>
      <c r="L41" s="2">
        <f>SQRT(J41^2+K41^2)</f>
        <v>134.32232317949598</v>
      </c>
      <c r="M41" s="2">
        <f>IF(J41=0,"infinity",ABS(K41/J41))</f>
        <v>0.112374569191487</v>
      </c>
      <c r="N41" s="2">
        <f>IF(J41=0,90,ATAN(M41)*180/PI())</f>
        <v>6.4116897947717204</v>
      </c>
      <c r="P41" s="4">
        <f>0.209 * (N41+2)^-0.32 * F41</f>
        <v>1.0572644916126592</v>
      </c>
      <c r="Q41" s="4">
        <f>MIN(1.087*(N41+6)^-0.65 * F41, 0.17*F41)</f>
        <v>1.7000000000000002</v>
      </c>
      <c r="R41" s="4">
        <f>Q41/L41</f>
        <v>1.2656124162833878E-2</v>
      </c>
      <c r="S41" s="4">
        <f t="shared" si="25"/>
        <v>0.69753801533875825</v>
      </c>
      <c r="T41" s="2">
        <f t="shared" si="26"/>
        <v>287.82370733547464</v>
      </c>
      <c r="U41" s="6">
        <f>S41*L41/T41</f>
        <v>0.32552887180036988</v>
      </c>
      <c r="V41" s="4">
        <f>U41/P41</f>
        <v>0.30789729001854255</v>
      </c>
      <c r="W41" s="4">
        <f>POWER(V41*(1.9-0.9*V41),0.3)</f>
        <v>0.81209844891438854</v>
      </c>
      <c r="X41" s="3">
        <f>0.6*A41*G41*E41*(1+0.5*SIN(N41*PI()/180)^1.5)*W41/1000</f>
        <v>17.19767633847621</v>
      </c>
      <c r="Y41" s="8">
        <f>X41*SIN(N41*PI()/180)</f>
        <v>1.9204934739881043</v>
      </c>
      <c r="Z41" s="3">
        <f>X41*COS(N41*PI()/180)</f>
        <v>17.090107555523272</v>
      </c>
      <c r="AA41" s="3">
        <f>L41*X41</f>
        <v>2310.0318390731727</v>
      </c>
      <c r="AB41" s="3"/>
      <c r="AC41" s="3"/>
      <c r="AD41" s="3"/>
    </row>
    <row r="42" spans="1:30" hidden="1">
      <c r="A42" s="7">
        <f>A41</f>
        <v>490</v>
      </c>
      <c r="B42" s="3">
        <f>B41</f>
        <v>-147.37104688888888</v>
      </c>
      <c r="D42" s="1">
        <f t="shared" si="33"/>
        <v>36</v>
      </c>
      <c r="E42" s="2">
        <f>E41</f>
        <v>10</v>
      </c>
      <c r="F42" s="2">
        <f>F41</f>
        <v>10</v>
      </c>
      <c r="G42" s="2">
        <f>F42/SQRT(2)</f>
        <v>7.0710678118654746</v>
      </c>
      <c r="H42" s="2">
        <f t="shared" si="27"/>
        <v>-13.888888888888889</v>
      </c>
      <c r="I42" s="2">
        <f t="shared" si="22"/>
        <v>5</v>
      </c>
      <c r="J42" s="20">
        <f>H42-B42</f>
        <v>133.482158</v>
      </c>
      <c r="K42" s="2">
        <f>I42</f>
        <v>5</v>
      </c>
      <c r="L42" s="2">
        <f>SQRT(J42^2+K42^2)</f>
        <v>133.57577064848613</v>
      </c>
      <c r="M42" s="2">
        <f>IF(J42=0,"infinity",ABS(K42/J42))</f>
        <v>3.7458189730495667E-2</v>
      </c>
      <c r="N42" s="2">
        <f>IF(J42=0,90,ATAN(M42)*180/PI())</f>
        <v>2.1451932365859068</v>
      </c>
      <c r="P42" s="4">
        <f>0.209 * (N42+2)^-0.32 * F42</f>
        <v>1.3259646812254779</v>
      </c>
      <c r="Q42" s="4">
        <f>MIN(1.087*(N42+6)^-0.65 * F42, 0.17*F42)</f>
        <v>1.7000000000000002</v>
      </c>
      <c r="R42" s="4">
        <f>Q42/L42</f>
        <v>1.2726859008537317E-2</v>
      </c>
      <c r="S42" s="4">
        <f t="shared" si="25"/>
        <v>0.69753801533875825</v>
      </c>
      <c r="T42" s="2">
        <f t="shared" si="26"/>
        <v>287.82370733547464</v>
      </c>
      <c r="U42" s="6">
        <f>S42*L42/T42</f>
        <v>0.3237196088468503</v>
      </c>
      <c r="V42" s="4">
        <f>U42/P42</f>
        <v>0.24413893780916052</v>
      </c>
      <c r="W42" s="4">
        <f>POWER(V42*(1.9-0.9*V42),0.3)</f>
        <v>0.7654295448034466</v>
      </c>
      <c r="X42" s="3">
        <f>0.6*A42*G42*E42*(1+0.5*SIN(N42*PI()/180)^1.5)*W42/1000</f>
        <v>15.970088101779021</v>
      </c>
      <c r="Y42" s="8">
        <f>X42*SIN(N42*PI()/180)</f>
        <v>0.59779135183900278</v>
      </c>
      <c r="Z42" s="3">
        <f>X42*COS(N42*PI()/180)</f>
        <v>15.958895935441474</v>
      </c>
      <c r="AA42" s="3">
        <f>L42*X42</f>
        <v>2133.2168255193519</v>
      </c>
      <c r="AB42" s="3"/>
      <c r="AC42" s="3"/>
      <c r="AD42" s="3"/>
    </row>
    <row r="43" spans="1:30" hidden="1">
      <c r="A43" s="7"/>
      <c r="B43" s="3"/>
      <c r="D43" s="1"/>
      <c r="E43" s="2"/>
      <c r="F43" s="2"/>
      <c r="G43" s="2"/>
      <c r="H43" s="2"/>
      <c r="I43" s="2"/>
      <c r="J43" s="20"/>
      <c r="K43" s="2"/>
      <c r="L43" s="2"/>
      <c r="M43" s="2"/>
      <c r="N43" s="2"/>
      <c r="P43" s="4"/>
      <c r="Q43" s="4"/>
      <c r="R43" s="4"/>
      <c r="S43" s="4"/>
      <c r="T43" s="2"/>
      <c r="U43" s="6"/>
      <c r="V43" s="4"/>
      <c r="W43" s="4"/>
      <c r="X43" s="3"/>
      <c r="Y43" s="8"/>
      <c r="Z43" s="3"/>
      <c r="AA43" s="3"/>
      <c r="AB43" s="3"/>
      <c r="AC43" s="3"/>
      <c r="AD43" s="3"/>
    </row>
    <row r="44" spans="1:30" hidden="1">
      <c r="A44" s="7"/>
      <c r="B44" s="3"/>
      <c r="D44" s="1"/>
      <c r="E44" s="2"/>
      <c r="F44" s="2"/>
      <c r="G44" s="2"/>
      <c r="H44" s="2"/>
      <c r="I44" s="2"/>
      <c r="J44" s="20"/>
      <c r="K44" s="2"/>
      <c r="L44" s="2"/>
      <c r="M44" s="2"/>
      <c r="N44" s="2"/>
      <c r="P44" s="4"/>
      <c r="Q44" s="4"/>
      <c r="R44" s="4"/>
      <c r="S44" s="4"/>
      <c r="T44" s="2"/>
      <c r="U44" s="6"/>
      <c r="V44" s="4"/>
      <c r="W44" s="4"/>
      <c r="X44" s="3"/>
      <c r="Y44" s="8"/>
      <c r="Z44" s="3"/>
      <c r="AA44" s="3"/>
      <c r="AB44" s="3"/>
      <c r="AC44" s="3"/>
      <c r="AD44" s="3"/>
    </row>
    <row r="45" spans="1:30" hidden="1">
      <c r="A45" s="7"/>
      <c r="B45" s="3"/>
      <c r="D45" s="1"/>
      <c r="E45" s="2"/>
      <c r="F45" s="2"/>
      <c r="G45" s="2"/>
      <c r="H45" s="2"/>
      <c r="I45" s="2"/>
      <c r="J45" s="20"/>
      <c r="K45" s="2"/>
      <c r="L45" s="2"/>
      <c r="M45" s="2"/>
      <c r="N45" s="2"/>
      <c r="P45" s="4"/>
      <c r="Q45" s="4"/>
      <c r="R45" s="4"/>
      <c r="S45" s="4"/>
      <c r="T45" s="2"/>
      <c r="U45" s="6"/>
      <c r="V45" s="4"/>
      <c r="W45" s="4"/>
      <c r="X45" s="3"/>
      <c r="Y45" s="8"/>
      <c r="Z45" s="3"/>
      <c r="AA45" s="3"/>
      <c r="AB45" s="3"/>
      <c r="AC45" s="3"/>
      <c r="AD45" s="3"/>
    </row>
    <row r="46" spans="1:30" hidden="1">
      <c r="A46" s="7"/>
      <c r="B46" s="3"/>
      <c r="D46" s="1"/>
      <c r="E46" s="2"/>
      <c r="F46" s="2"/>
      <c r="G46" s="2"/>
      <c r="H46" s="2"/>
      <c r="I46" s="2"/>
      <c r="J46" s="20"/>
      <c r="K46" s="2"/>
      <c r="L46" s="2"/>
      <c r="M46" s="2"/>
      <c r="N46" s="2"/>
      <c r="P46" s="4"/>
      <c r="Q46" s="4"/>
      <c r="R46" s="4"/>
      <c r="S46" s="4"/>
      <c r="T46" s="2"/>
      <c r="U46" s="6"/>
      <c r="V46" s="4"/>
      <c r="W46" s="4"/>
      <c r="X46" s="3"/>
      <c r="Y46" s="8"/>
      <c r="Z46" s="3"/>
      <c r="AA46" s="3"/>
      <c r="AB46" s="3"/>
      <c r="AC46" s="3"/>
      <c r="AD46" s="3"/>
    </row>
    <row r="47" spans="1:30" hidden="1">
      <c r="A47" s="7"/>
      <c r="B47" s="3"/>
      <c r="D47" s="1"/>
      <c r="E47" s="2"/>
      <c r="F47" s="2"/>
      <c r="G47" s="2"/>
      <c r="H47" s="2"/>
      <c r="I47" s="2"/>
      <c r="J47" s="20"/>
      <c r="K47" s="2"/>
      <c r="L47" s="2"/>
      <c r="M47" s="2"/>
      <c r="N47" s="2"/>
      <c r="P47" s="4"/>
      <c r="Q47" s="4"/>
      <c r="R47" s="4"/>
      <c r="S47" s="4"/>
      <c r="T47" s="2"/>
      <c r="U47" s="6"/>
      <c r="V47" s="4"/>
      <c r="W47" s="4"/>
      <c r="X47" s="3"/>
      <c r="Y47" s="8"/>
      <c r="Z47" s="3"/>
      <c r="AA47" s="3"/>
      <c r="AB47" s="3"/>
      <c r="AC47" s="3"/>
      <c r="AD47" s="3"/>
    </row>
    <row r="48" spans="1:30" hidden="1">
      <c r="A48" s="7"/>
      <c r="B48" s="3"/>
      <c r="D48" s="1"/>
      <c r="E48" s="2"/>
      <c r="F48" s="2"/>
      <c r="G48" s="2"/>
      <c r="H48" s="2"/>
      <c r="I48" s="2"/>
      <c r="J48" s="20"/>
      <c r="K48" s="2"/>
      <c r="L48" s="2"/>
      <c r="M48" s="2"/>
      <c r="N48" s="2"/>
      <c r="P48" s="4"/>
      <c r="Q48" s="4"/>
      <c r="R48" s="4"/>
      <c r="S48" s="4"/>
      <c r="T48" s="2"/>
      <c r="U48" s="6"/>
      <c r="V48" s="4"/>
      <c r="W48" s="4"/>
      <c r="X48" s="3"/>
      <c r="Y48" s="8"/>
      <c r="Z48" s="3"/>
      <c r="AA48" s="3"/>
      <c r="AB48" s="3"/>
      <c r="AC48" s="3"/>
      <c r="AD48" s="3"/>
    </row>
    <row r="49" spans="1:31" hidden="1">
      <c r="A49" s="7"/>
      <c r="B49" s="3"/>
      <c r="D49" s="1"/>
      <c r="E49" s="2"/>
      <c r="F49" s="2"/>
      <c r="G49" s="2"/>
      <c r="H49" s="2"/>
      <c r="I49" s="2"/>
      <c r="J49" s="20"/>
      <c r="K49" s="2"/>
      <c r="L49" s="2"/>
      <c r="M49" s="2"/>
      <c r="N49" s="2"/>
      <c r="P49" s="4"/>
      <c r="Q49" s="4"/>
      <c r="R49" s="4"/>
      <c r="S49" s="4"/>
      <c r="T49" s="2"/>
      <c r="U49" s="6"/>
      <c r="V49" s="4"/>
      <c r="W49" s="4"/>
      <c r="X49" s="3"/>
      <c r="Y49" s="8"/>
      <c r="Z49" s="3"/>
      <c r="AA49" s="3"/>
      <c r="AB49" s="3"/>
      <c r="AC49" s="3"/>
      <c r="AD49" s="3"/>
    </row>
    <row r="50" spans="1:31">
      <c r="A50" s="7"/>
      <c r="B50" s="3"/>
      <c r="D50" s="1"/>
      <c r="E50" s="2"/>
      <c r="F50" s="2"/>
      <c r="G50" s="2"/>
      <c r="H50" s="2"/>
      <c r="I50" s="2"/>
      <c r="J50" s="20"/>
      <c r="K50" s="2"/>
      <c r="L50" s="2"/>
      <c r="M50" s="2"/>
      <c r="N50" s="2"/>
      <c r="P50" s="4"/>
      <c r="Q50" s="4"/>
      <c r="R50" s="4"/>
      <c r="S50" s="4"/>
      <c r="T50" s="2"/>
      <c r="U50" s="6"/>
      <c r="V50" s="4"/>
      <c r="W50" s="4"/>
      <c r="X50" s="3"/>
      <c r="Y50" s="8"/>
      <c r="Z50" s="3"/>
      <c r="AA50" s="3"/>
      <c r="AB50" s="3"/>
      <c r="AC50" s="3"/>
      <c r="AD50" s="3"/>
    </row>
    <row r="51" spans="1:31">
      <c r="A51" s="7"/>
      <c r="B51" s="3"/>
      <c r="D51" s="1"/>
      <c r="E51" s="2"/>
      <c r="F51" s="2"/>
      <c r="G51" s="2"/>
      <c r="H51" s="2"/>
      <c r="I51" s="2"/>
      <c r="J51" s="20"/>
      <c r="K51" s="2"/>
      <c r="L51" s="2"/>
      <c r="M51" s="2"/>
      <c r="N51" s="2"/>
      <c r="P51" s="4"/>
      <c r="Q51" s="4"/>
      <c r="R51" s="4"/>
      <c r="S51" s="4"/>
      <c r="T51" s="2"/>
      <c r="U51" s="6"/>
      <c r="V51" s="4"/>
      <c r="W51" s="4"/>
      <c r="X51" s="3"/>
      <c r="Y51" s="8"/>
      <c r="Z51" s="3"/>
      <c r="AA51" s="3"/>
      <c r="AB51" s="3"/>
      <c r="AC51" s="3"/>
      <c r="AD51" s="3"/>
    </row>
    <row r="52" spans="1:31">
      <c r="A52" s="7"/>
      <c r="B52" s="3"/>
      <c r="D52" s="1"/>
      <c r="E52" s="2"/>
      <c r="F52" s="2"/>
      <c r="G52" s="2"/>
      <c r="H52" s="2"/>
      <c r="I52" s="2"/>
      <c r="J52" s="20"/>
      <c r="K52" s="2"/>
      <c r="L52" s="2"/>
      <c r="M52" s="2"/>
      <c r="N52" s="2"/>
      <c r="P52" s="4"/>
      <c r="Q52" s="4"/>
      <c r="R52" s="4"/>
      <c r="S52" s="4"/>
      <c r="T52" s="2"/>
      <c r="U52" s="6"/>
      <c r="V52" s="4"/>
      <c r="W52" s="4"/>
      <c r="X52" s="3"/>
      <c r="Y52" s="8"/>
      <c r="Z52" s="3"/>
      <c r="AA52" s="3"/>
      <c r="AB52" s="3"/>
      <c r="AC52" s="3"/>
      <c r="AD52" s="3"/>
    </row>
    <row r="53" spans="1:31">
      <c r="A53" s="7"/>
      <c r="B53" s="3">
        <v>-46.620699999999999</v>
      </c>
      <c r="D53" s="1"/>
      <c r="E53" s="2"/>
      <c r="F53" s="2"/>
      <c r="G53" s="2"/>
      <c r="H53" s="2"/>
      <c r="I53" s="2"/>
      <c r="J53" s="20"/>
      <c r="K53" s="2"/>
      <c r="L53" s="2"/>
      <c r="M53" s="2"/>
      <c r="N53" s="2"/>
      <c r="P53" s="4"/>
      <c r="Q53" s="4"/>
      <c r="R53" s="4"/>
      <c r="S53" s="4"/>
      <c r="T53" s="2"/>
      <c r="U53" s="6"/>
      <c r="V53" s="4"/>
      <c r="W53" s="4"/>
      <c r="X53" s="3"/>
      <c r="Y53" s="8"/>
      <c r="Z53" s="3"/>
      <c r="AA53" s="3"/>
      <c r="AB53" s="3"/>
      <c r="AC53" s="3"/>
      <c r="AD53" s="3"/>
    </row>
    <row r="54" spans="1:31">
      <c r="A54" s="7"/>
      <c r="B54" s="3">
        <v>-466.53030000000001</v>
      </c>
      <c r="D54" s="1"/>
      <c r="E54" s="2"/>
      <c r="F54" s="2"/>
      <c r="G54" s="2"/>
      <c r="H54" s="2"/>
      <c r="I54" s="2"/>
      <c r="J54" s="20"/>
      <c r="K54" s="2"/>
      <c r="L54" s="2"/>
      <c r="M54" s="2"/>
      <c r="N54" s="2"/>
      <c r="P54" s="4"/>
      <c r="Q54" s="4"/>
      <c r="R54" s="4"/>
      <c r="S54" s="4"/>
      <c r="T54" s="2"/>
      <c r="U54" s="6"/>
      <c r="V54" s="4"/>
      <c r="W54" s="4"/>
      <c r="X54" s="3"/>
      <c r="Y54" s="8"/>
      <c r="Z54" s="3"/>
      <c r="AA54" s="3"/>
      <c r="AB54" s="3"/>
      <c r="AC54" s="3"/>
      <c r="AD54" s="3"/>
    </row>
    <row r="55" spans="1:31">
      <c r="A55" s="7"/>
      <c r="B55" s="3"/>
      <c r="D55" s="1"/>
      <c r="E55" s="2"/>
      <c r="F55" s="2"/>
      <c r="G55" s="2"/>
      <c r="H55" s="2"/>
      <c r="I55" s="2"/>
      <c r="J55" s="20"/>
      <c r="K55" s="2"/>
      <c r="L55" s="2"/>
      <c r="M55" s="2"/>
      <c r="N55" s="2"/>
      <c r="P55" s="4"/>
      <c r="Q55" s="4"/>
      <c r="R55" s="4"/>
      <c r="S55" s="4"/>
      <c r="T55" s="2"/>
      <c r="U55" s="6"/>
      <c r="V55" s="4"/>
      <c r="W55" s="4"/>
      <c r="X55" s="3"/>
      <c r="Y55" s="8"/>
      <c r="Z55" s="3"/>
      <c r="AA55" s="3"/>
      <c r="AB55" s="3"/>
      <c r="AC55" s="3"/>
      <c r="AD55" s="3"/>
    </row>
    <row r="56" spans="1:31">
      <c r="A56" s="7"/>
      <c r="B56" s="3"/>
      <c r="D56" s="1"/>
      <c r="E56" s="2"/>
      <c r="F56" s="2"/>
      <c r="G56" s="2"/>
      <c r="H56" s="2"/>
      <c r="I56" s="2"/>
      <c r="J56" s="20"/>
      <c r="K56" s="2"/>
      <c r="L56" s="2"/>
      <c r="M56" s="2"/>
      <c r="N56" s="2"/>
      <c r="P56" s="4"/>
      <c r="Q56" s="4"/>
      <c r="R56" s="4"/>
      <c r="S56" s="4"/>
      <c r="T56" s="2"/>
      <c r="U56" s="6"/>
      <c r="V56" s="4"/>
      <c r="W56" s="4"/>
      <c r="X56" s="3"/>
      <c r="Y56" s="8"/>
      <c r="Z56" s="3"/>
      <c r="AA56" s="3"/>
      <c r="AB56" s="3"/>
      <c r="AC56" s="3"/>
      <c r="AD56" s="3"/>
    </row>
    <row r="57" spans="1:31">
      <c r="A57" s="7"/>
      <c r="B57" s="3"/>
      <c r="D57" s="1"/>
      <c r="E57" s="2"/>
      <c r="F57" s="2"/>
      <c r="G57" s="2"/>
      <c r="H57" s="2"/>
      <c r="I57" s="2"/>
      <c r="J57" s="20"/>
      <c r="K57" s="2"/>
      <c r="L57" s="2"/>
      <c r="M57" s="2"/>
      <c r="N57" s="2"/>
      <c r="P57" s="4"/>
      <c r="Q57" s="4"/>
      <c r="R57" s="4"/>
      <c r="S57" s="4"/>
      <c r="T57" s="2"/>
      <c r="U57" s="6"/>
      <c r="V57" s="4"/>
      <c r="W57" s="4"/>
      <c r="X57" s="3"/>
      <c r="Y57" s="8"/>
      <c r="Z57" s="3"/>
      <c r="AA57" s="3"/>
      <c r="AB57" s="3"/>
      <c r="AC57" s="3"/>
      <c r="AD57" s="3"/>
    </row>
    <row r="58" spans="1:31">
      <c r="A58" s="7"/>
      <c r="B58" s="3"/>
      <c r="D58" s="1"/>
      <c r="E58" s="2"/>
      <c r="F58" s="2"/>
      <c r="G58" s="2"/>
      <c r="H58" s="2"/>
      <c r="I58" s="2"/>
      <c r="J58" s="20"/>
      <c r="K58" s="2"/>
      <c r="L58" s="2"/>
      <c r="M58" s="2"/>
      <c r="N58" s="2"/>
      <c r="P58" s="4"/>
      <c r="Q58" s="4"/>
      <c r="R58" s="4"/>
      <c r="S58" s="4"/>
      <c r="T58" s="2"/>
      <c r="U58" s="6"/>
      <c r="V58" s="4"/>
      <c r="W58" s="4"/>
      <c r="X58" s="3"/>
      <c r="Y58" s="8"/>
      <c r="Z58" s="3"/>
      <c r="AA58" s="3"/>
      <c r="AB58" s="3"/>
      <c r="AC58" s="3"/>
      <c r="AD58" s="3"/>
    </row>
    <row r="59" spans="1:31">
      <c r="A59" s="7"/>
      <c r="B59" s="3"/>
      <c r="D59" s="1"/>
      <c r="E59" s="2"/>
      <c r="F59" s="2"/>
      <c r="G59" s="2"/>
      <c r="H59" s="2"/>
      <c r="I59" s="2"/>
      <c r="J59" s="20"/>
      <c r="K59" s="2"/>
      <c r="L59" s="2"/>
      <c r="M59" s="2"/>
      <c r="N59" s="2"/>
      <c r="P59" s="4"/>
      <c r="Q59" s="4"/>
      <c r="R59" s="4"/>
      <c r="S59" s="4"/>
      <c r="T59" s="2"/>
      <c r="U59" s="6"/>
      <c r="V59" s="4"/>
      <c r="W59" s="4"/>
      <c r="X59" s="3"/>
      <c r="Y59" s="8"/>
      <c r="Z59" s="3"/>
      <c r="AA59" s="3"/>
      <c r="AB59" s="3"/>
      <c r="AC59" s="3"/>
      <c r="AD59" s="3"/>
    </row>
    <row r="60" spans="1:31"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X60" s="14" t="s">
        <v>26</v>
      </c>
      <c r="Y60" s="9">
        <f>ABS(SUM(Y3:Y59))</f>
        <v>626.3220318875118</v>
      </c>
      <c r="Z60" s="19">
        <f>SUM(Z3:Z59)</f>
        <v>596.22770930995955</v>
      </c>
      <c r="AA60" s="10">
        <f>SUM(AA3:AA59)</f>
        <v>210755.85984569087</v>
      </c>
      <c r="AB60" s="3"/>
      <c r="AC60" s="3"/>
      <c r="AD60" s="3"/>
      <c r="AE60" s="15"/>
    </row>
    <row r="61" spans="1:31" ht="23.25" customHeight="1"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R61" s="5"/>
      <c r="X61" s="14" t="s">
        <v>25</v>
      </c>
      <c r="Y61" s="3">
        <f>0.75*Y60</f>
        <v>469.74152391563382</v>
      </c>
      <c r="Z61" s="17">
        <f>0.75*Z60</f>
        <v>447.17078198246963</v>
      </c>
      <c r="AA61" s="18">
        <f>AA60/AB21</f>
        <v>596.22771638078223</v>
      </c>
      <c r="AB61" s="16" t="str">
        <f>IF(ABS(Z60-AA61)&lt;0.1,"balanced ro = "&amp;B3, "NG")</f>
        <v>balanced ro = -147.371046888889</v>
      </c>
      <c r="AC61" s="3"/>
    </row>
    <row r="62" spans="1:31"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Z62" s="21"/>
      <c r="AA62" s="15"/>
    </row>
    <row r="63" spans="1:31"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</row>
  </sheetData>
  <phoneticPr fontId="1" type="noConversion"/>
  <conditionalFormatting sqref="R3:R14 R17:R31">
    <cfRule type="cellIs" dxfId="260" priority="42" operator="equal">
      <formula>#REF!</formula>
    </cfRule>
  </conditionalFormatting>
  <conditionalFormatting sqref="R3:R14 R17:R31 R59">
    <cfRule type="cellIs" dxfId="259" priority="39" operator="equal">
      <formula>MIN($R$3:$R$59)</formula>
    </cfRule>
    <cfRule type="cellIs" dxfId="258" priority="40" operator="equal">
      <formula>0.05292</formula>
    </cfRule>
    <cfRule type="cellIs" dxfId="257" priority="41" operator="equal">
      <formula>MIN($R$3:$R$59)</formula>
    </cfRule>
  </conditionalFormatting>
  <conditionalFormatting sqref="R3:R14 R17:R31 R59">
    <cfRule type="cellIs" dxfId="256" priority="38" operator="equal">
      <formula>MIN($R$3:$R$59)</formula>
    </cfRule>
  </conditionalFormatting>
  <conditionalFormatting sqref="R32:R38 R59">
    <cfRule type="cellIs" dxfId="255" priority="37" operator="equal">
      <formula>#REF!</formula>
    </cfRule>
  </conditionalFormatting>
  <conditionalFormatting sqref="R32:R38">
    <cfRule type="cellIs" dxfId="254" priority="34" operator="equal">
      <formula>MIN($R$3:$R$59)</formula>
    </cfRule>
    <cfRule type="cellIs" dxfId="253" priority="35" operator="equal">
      <formula>0.05292</formula>
    </cfRule>
    <cfRule type="cellIs" dxfId="252" priority="36" operator="equal">
      <formula>MIN($R$3:$R$59)</formula>
    </cfRule>
  </conditionalFormatting>
  <conditionalFormatting sqref="R32:R38">
    <cfRule type="cellIs" dxfId="251" priority="33" operator="equal">
      <formula>MIN($R$3:$R$59)</formula>
    </cfRule>
  </conditionalFormatting>
  <conditionalFormatting sqref="R39">
    <cfRule type="cellIs" dxfId="250" priority="32" operator="equal">
      <formula>#REF!</formula>
    </cfRule>
  </conditionalFormatting>
  <conditionalFormatting sqref="R39">
    <cfRule type="cellIs" dxfId="249" priority="29" operator="equal">
      <formula>MIN($R$3:$R$59)</formula>
    </cfRule>
    <cfRule type="cellIs" dxfId="248" priority="30" operator="equal">
      <formula>0.05292</formula>
    </cfRule>
    <cfRule type="cellIs" dxfId="247" priority="31" operator="equal">
      <formula>MIN($R$3:$R$59)</formula>
    </cfRule>
  </conditionalFormatting>
  <conditionalFormatting sqref="R39">
    <cfRule type="cellIs" dxfId="246" priority="28" operator="equal">
      <formula>MIN($R$3:$R$59)</formula>
    </cfRule>
  </conditionalFormatting>
  <conditionalFormatting sqref="R40">
    <cfRule type="cellIs" dxfId="245" priority="27" operator="equal">
      <formula>#REF!</formula>
    </cfRule>
  </conditionalFormatting>
  <conditionalFormatting sqref="R40">
    <cfRule type="cellIs" dxfId="244" priority="24" operator="equal">
      <formula>MIN($R$3:$R$59)</formula>
    </cfRule>
    <cfRule type="cellIs" dxfId="243" priority="25" operator="equal">
      <formula>0.05292</formula>
    </cfRule>
    <cfRule type="cellIs" dxfId="242" priority="26" operator="equal">
      <formula>MIN($R$3:$R$59)</formula>
    </cfRule>
  </conditionalFormatting>
  <conditionalFormatting sqref="R40">
    <cfRule type="cellIs" dxfId="241" priority="23" operator="equal">
      <formula>MIN($R$3:$R$59)</formula>
    </cfRule>
  </conditionalFormatting>
  <conditionalFormatting sqref="R41">
    <cfRule type="cellIs" dxfId="240" priority="22" operator="equal">
      <formula>#REF!</formula>
    </cfRule>
  </conditionalFormatting>
  <conditionalFormatting sqref="R41">
    <cfRule type="cellIs" dxfId="239" priority="19" operator="equal">
      <formula>MIN($R$3:$R$59)</formula>
    </cfRule>
    <cfRule type="cellIs" dxfId="238" priority="20" operator="equal">
      <formula>0.05292</formula>
    </cfRule>
    <cfRule type="cellIs" dxfId="237" priority="21" operator="equal">
      <formula>MIN($R$3:$R$59)</formula>
    </cfRule>
  </conditionalFormatting>
  <conditionalFormatting sqref="R41">
    <cfRule type="cellIs" dxfId="236" priority="18" operator="equal">
      <formula>MIN($R$3:$R$59)</formula>
    </cfRule>
  </conditionalFormatting>
  <conditionalFormatting sqref="R42">
    <cfRule type="cellIs" dxfId="235" priority="17" operator="equal">
      <formula>#REF!</formula>
    </cfRule>
  </conditionalFormatting>
  <conditionalFormatting sqref="R42">
    <cfRule type="cellIs" dxfId="234" priority="14" operator="equal">
      <formula>MIN($R$3:$R$59)</formula>
    </cfRule>
    <cfRule type="cellIs" dxfId="233" priority="15" operator="equal">
      <formula>0.05292</formula>
    </cfRule>
    <cfRule type="cellIs" dxfId="232" priority="16" operator="equal">
      <formula>MIN($R$3:$R$59)</formula>
    </cfRule>
  </conditionalFormatting>
  <conditionalFormatting sqref="R42">
    <cfRule type="cellIs" dxfId="231" priority="13" operator="equal">
      <formula>MIN($R$3:$R$59)</formula>
    </cfRule>
  </conditionalFormatting>
  <conditionalFormatting sqref="R43">
    <cfRule type="cellIs" dxfId="230" priority="12" operator="equal">
      <formula>#REF!</formula>
    </cfRule>
  </conditionalFormatting>
  <conditionalFormatting sqref="R43">
    <cfRule type="cellIs" dxfId="229" priority="9" operator="equal">
      <formula>MIN($R$3:$R$59)</formula>
    </cfRule>
    <cfRule type="cellIs" dxfId="228" priority="10" operator="equal">
      <formula>0.05292</formula>
    </cfRule>
    <cfRule type="cellIs" dxfId="227" priority="11" operator="equal">
      <formula>MIN($R$3:$R$59)</formula>
    </cfRule>
  </conditionalFormatting>
  <conditionalFormatting sqref="R43">
    <cfRule type="cellIs" dxfId="226" priority="8" operator="equal">
      <formula>MIN($R$3:$R$59)</formula>
    </cfRule>
  </conditionalFormatting>
  <conditionalFormatting sqref="R44:R58">
    <cfRule type="cellIs" dxfId="225" priority="7" operator="equal">
      <formula>#REF!</formula>
    </cfRule>
  </conditionalFormatting>
  <conditionalFormatting sqref="R44:R58">
    <cfRule type="cellIs" dxfId="224" priority="4" operator="equal">
      <formula>MIN($R$3:$R$59)</formula>
    </cfRule>
    <cfRule type="cellIs" dxfId="223" priority="5" operator="equal">
      <formula>0.05292</formula>
    </cfRule>
    <cfRule type="cellIs" dxfId="222" priority="6" operator="equal">
      <formula>MIN($R$3:$R$59)</formula>
    </cfRule>
  </conditionalFormatting>
  <conditionalFormatting sqref="R44:R58">
    <cfRule type="cellIs" dxfId="221" priority="3" operator="equal">
      <formula>MIN($R$3:$R$59)</formula>
    </cfRule>
  </conditionalFormatting>
  <conditionalFormatting sqref="F3">
    <cfRule type="expression" dxfId="220" priority="2">
      <formula>ABS($Z$61-$AC$18)&lt;0.001</formula>
    </cfRule>
  </conditionalFormatting>
  <conditionalFormatting sqref="B3">
    <cfRule type="expression" dxfId="219" priority="1">
      <formula>ABS($Z$60-$AA$61)&lt;0.001</formula>
    </cfRule>
  </conditionalFormatting>
  <pageMargins left="0.7" right="0.7" top="0.75" bottom="0.75" header="0.3" footer="0.3"/>
  <pageSetup paperSize="9" orientation="portrait" r:id="rId1"/>
  <ignoredErrors>
    <ignoredError sqref="J4:J12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8383-68CA-43B7-96D2-8B74390011DC}">
  <dimension ref="A1:AD3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ColWidth="9" defaultRowHeight="16.5"/>
  <cols>
    <col min="1" max="1" width="18" style="22" bestFit="1" customWidth="1"/>
    <col min="2" max="3" width="9" style="23"/>
    <col min="4" max="4" width="9" style="23" customWidth="1"/>
    <col min="5" max="5" width="9" style="23"/>
    <col min="6" max="6" width="1.375" style="23" customWidth="1"/>
    <col min="7" max="10" width="9" style="23"/>
    <col min="11" max="11" width="1.375" style="23" customWidth="1"/>
    <col min="12" max="15" width="9" style="23"/>
    <col min="16" max="16" width="1.375" style="23" customWidth="1"/>
    <col min="17" max="20" width="9" style="23"/>
    <col min="21" max="21" width="1.375" style="23" customWidth="1"/>
    <col min="22" max="25" width="9" style="23"/>
    <col min="26" max="26" width="1.375" style="23" customWidth="1"/>
    <col min="27" max="16384" width="9" style="23"/>
  </cols>
  <sheetData>
    <row r="1" spans="1:30" ht="32.25" customHeight="1">
      <c r="B1" s="78" t="s">
        <v>154</v>
      </c>
      <c r="C1" s="79"/>
      <c r="D1" s="79"/>
      <c r="E1" s="79"/>
      <c r="G1" s="79" t="s">
        <v>31</v>
      </c>
      <c r="H1" s="79"/>
      <c r="I1" s="79"/>
      <c r="J1" s="79"/>
      <c r="L1" s="78" t="s">
        <v>78</v>
      </c>
      <c r="M1" s="79"/>
      <c r="N1" s="79"/>
      <c r="O1" s="79"/>
      <c r="Q1" s="78" t="s">
        <v>79</v>
      </c>
      <c r="R1" s="79"/>
      <c r="S1" s="79"/>
      <c r="T1" s="79"/>
      <c r="V1" s="78" t="s">
        <v>147</v>
      </c>
      <c r="W1" s="79"/>
      <c r="X1" s="79"/>
      <c r="Y1" s="79"/>
      <c r="AA1" s="78" t="s">
        <v>148</v>
      </c>
      <c r="AB1" s="79"/>
      <c r="AC1" s="79"/>
      <c r="AD1" s="79"/>
    </row>
    <row r="2" spans="1:30">
      <c r="A2" s="68" t="s">
        <v>155</v>
      </c>
      <c r="C2" s="62"/>
      <c r="D2" s="65">
        <f>D3/0.22480894</f>
        <v>882.50207381908604</v>
      </c>
      <c r="E2" s="24">
        <f>'DB700'!Z61*2</f>
        <v>894.34156396493927</v>
      </c>
      <c r="I2" s="24">
        <f>ex!Z61*2</f>
        <v>253.74438048021207</v>
      </c>
      <c r="N2" s="24">
        <f>'DB400'!Z61*2</f>
        <v>87.408561495628476</v>
      </c>
      <c r="S2" s="24">
        <f>'DB500'!Z61*2</f>
        <v>148.78939324802192</v>
      </c>
      <c r="X2" s="24">
        <f>'DB600'!Z142*2</f>
        <v>3865.8669201157018</v>
      </c>
      <c r="AC2" s="24">
        <f>'DB700'!Z61*2</f>
        <v>894.34156396493927</v>
      </c>
    </row>
    <row r="3" spans="1:30">
      <c r="A3" s="64" t="s">
        <v>153</v>
      </c>
      <c r="C3" s="62"/>
      <c r="D3" s="24">
        <f>0.75*D12*D13*('DB700'!F3/25.4*16)*D14</f>
        <v>198.39435576307051</v>
      </c>
      <c r="E3" s="24">
        <f>E2*0.22480894</f>
        <v>201.05597899290021</v>
      </c>
      <c r="I3" s="24">
        <f>I2*0.22480894</f>
        <v>57.044005206713173</v>
      </c>
      <c r="N3" s="24">
        <f>N2*0.22480894</f>
        <v>19.650226056757052</v>
      </c>
      <c r="S3" s="24">
        <f>S2*0.22480894</f>
        <v>33.449185779330968</v>
      </c>
      <c r="X3" s="24">
        <f>X2*0.22480894</f>
        <v>869.08144449227564</v>
      </c>
      <c r="AC3" s="24">
        <f>AC2*0.22480894</f>
        <v>201.05597899290021</v>
      </c>
    </row>
    <row r="4" spans="1:30">
      <c r="A4" s="22" t="s">
        <v>33</v>
      </c>
      <c r="D4" s="28">
        <f>'DB700'!K3*2</f>
        <v>520</v>
      </c>
      <c r="E4" s="28"/>
      <c r="I4" s="28">
        <f>stiffener_C_shaped_weld!B79</f>
        <v>460</v>
      </c>
      <c r="N4" s="28">
        <f>stiffener_C_shaped_weld!C79</f>
        <v>280</v>
      </c>
      <c r="S4" s="28">
        <f>stiffener_C_shaped_weld!D79</f>
        <v>360</v>
      </c>
      <c r="X4" s="28">
        <f>stiffener_C_shaped_weld!E79</f>
        <v>460</v>
      </c>
      <c r="AC4" s="28">
        <f>stiffener_C_shaped_weld!G79</f>
        <v>520</v>
      </c>
    </row>
    <row r="5" spans="1:30">
      <c r="A5" s="22" t="s">
        <v>34</v>
      </c>
      <c r="D5" s="28">
        <f>MAX('DB700'!D3:D14)*'DB700'!E3</f>
        <v>100</v>
      </c>
      <c r="E5" s="28"/>
      <c r="I5" s="28">
        <f>stiffener_C_shaped_weld!B80</f>
        <v>110</v>
      </c>
      <c r="N5" s="28">
        <f>stiffener_C_shaped_weld!C80</f>
        <v>100</v>
      </c>
      <c r="S5" s="28">
        <f>stiffener_C_shaped_weld!D80</f>
        <v>100</v>
      </c>
      <c r="X5" s="28">
        <f>stiffener_C_shaped_weld!E80</f>
        <v>100</v>
      </c>
      <c r="AC5" s="28">
        <f>stiffener_C_shaped_weld!G80</f>
        <v>100</v>
      </c>
    </row>
    <row r="6" spans="1:30">
      <c r="D6" s="25" t="s">
        <v>49</v>
      </c>
      <c r="I6" s="25" t="s">
        <v>49</v>
      </c>
      <c r="N6" s="25" t="s">
        <v>49</v>
      </c>
      <c r="S6" s="25" t="s">
        <v>49</v>
      </c>
      <c r="X6" s="25" t="s">
        <v>49</v>
      </c>
      <c r="AC6" s="25" t="s">
        <v>49</v>
      </c>
    </row>
    <row r="7" spans="1:30">
      <c r="B7" s="26"/>
      <c r="C7" s="26">
        <v>0.1</v>
      </c>
      <c r="D7" s="26">
        <f>D5/D4</f>
        <v>0.19230769230769232</v>
      </c>
      <c r="E7" s="26">
        <v>0.2</v>
      </c>
      <c r="F7" s="26"/>
      <c r="G7" s="26"/>
      <c r="H7" s="26">
        <v>0.2</v>
      </c>
      <c r="I7" s="26">
        <f>I5/I4</f>
        <v>0.2391304347826087</v>
      </c>
      <c r="J7" s="26">
        <v>0.3</v>
      </c>
      <c r="K7" s="26"/>
      <c r="L7" s="26"/>
      <c r="M7" s="26">
        <v>0.3</v>
      </c>
      <c r="N7" s="26">
        <f>N5/N4</f>
        <v>0.35714285714285715</v>
      </c>
      <c r="O7" s="26">
        <v>0.4</v>
      </c>
      <c r="P7" s="26"/>
      <c r="Q7" s="26"/>
      <c r="R7" s="26">
        <v>0.2</v>
      </c>
      <c r="S7" s="26">
        <f>S5/S4</f>
        <v>0.27777777777777779</v>
      </c>
      <c r="T7" s="26">
        <v>0.3</v>
      </c>
      <c r="U7" s="26"/>
      <c r="V7" s="26"/>
      <c r="W7" s="26">
        <v>0.2</v>
      </c>
      <c r="X7" s="26">
        <f>X5/X4</f>
        <v>0.21739130434782608</v>
      </c>
      <c r="Y7" s="26">
        <v>0.3</v>
      </c>
      <c r="Z7" s="26"/>
      <c r="AA7" s="26"/>
      <c r="AB7" s="26">
        <v>0.1</v>
      </c>
      <c r="AC7" s="26">
        <f>AC5/AC4</f>
        <v>0.19230769230769232</v>
      </c>
      <c r="AD7" s="26">
        <v>0.2</v>
      </c>
    </row>
    <row r="8" spans="1:30">
      <c r="B8" s="26">
        <v>0.3</v>
      </c>
      <c r="C8" s="26">
        <v>1.95</v>
      </c>
      <c r="D8" s="26">
        <f>IF(C7=E7,C8,C8+(E8-C8)/(E7-C7)*(D7-C7))</f>
        <v>2.3284615384615384</v>
      </c>
      <c r="E8" s="26">
        <v>2.36</v>
      </c>
      <c r="F8" s="26"/>
      <c r="G8" s="26">
        <v>1.8</v>
      </c>
      <c r="H8" s="26">
        <v>0.56999999999999995</v>
      </c>
      <c r="I8" s="26">
        <f>IF(H7=J7,H8,H8+(J8-H8)/(J7-H7)*(I7-H7))</f>
        <v>0.61734782608695649</v>
      </c>
      <c r="J8" s="26">
        <v>0.69099999999999995</v>
      </c>
      <c r="K8" s="26"/>
      <c r="L8" s="26">
        <v>0.7</v>
      </c>
      <c r="M8" s="26">
        <v>1.66</v>
      </c>
      <c r="N8" s="26">
        <f>IF(M7=O7,M8,M8+(O8-M8)/(O7-M7)*(N7-M7))</f>
        <v>1.8257142857142856</v>
      </c>
      <c r="O8" s="26">
        <v>1.95</v>
      </c>
      <c r="P8" s="26"/>
      <c r="Q8" s="26">
        <v>1.4</v>
      </c>
      <c r="R8" s="26">
        <v>0.72899999999999998</v>
      </c>
      <c r="S8" s="26">
        <f>IF(R7=T7,R8,R8+(T8-R8)/(T7-R7)*(S7-R7))</f>
        <v>0.84877777777777785</v>
      </c>
      <c r="T8" s="26">
        <v>0.88300000000000001</v>
      </c>
      <c r="U8" s="26"/>
      <c r="V8" s="26">
        <v>1.8</v>
      </c>
      <c r="W8" s="26">
        <v>0.56999999999999995</v>
      </c>
      <c r="X8" s="26">
        <f>IF(W7=Y7,W8,W8+(Y8-W8)/(Y7-W7)*(X7-W7))</f>
        <v>0.59104347826086945</v>
      </c>
      <c r="Y8" s="26">
        <v>0.69099999999999995</v>
      </c>
      <c r="Z8" s="26"/>
      <c r="AA8" s="26">
        <v>1</v>
      </c>
      <c r="AB8" s="26">
        <v>0.81299999999999994</v>
      </c>
      <c r="AC8" s="26">
        <f>IF(AB7=AD7,AB8,AB8+(AD8-AB8)/(AD7-AB7)*(AC7-AB7))</f>
        <v>0.98561538461538456</v>
      </c>
      <c r="AD8" s="26">
        <v>1</v>
      </c>
    </row>
    <row r="9" spans="1:30">
      <c r="A9" s="22" t="s">
        <v>3</v>
      </c>
      <c r="B9" s="26">
        <f>'DB700'!AB17/D4</f>
        <v>0.39636752136752135</v>
      </c>
      <c r="C9" s="26">
        <f>IF(B8=B10,C8,C8+(C10-C8)/(B10-B8)*(B9-B8))</f>
        <v>1.6994444444444445</v>
      </c>
      <c r="D9" s="27">
        <f>IF(C7=E7,C9,C9+(E9-C9)/(E7-C7)*(D7-C7))</f>
        <v>2.0512195923734384</v>
      </c>
      <c r="E9" s="26">
        <f>IF(B8=B10,E8,E8+(E10-E8)/(B10-B8)*(B9-B8))</f>
        <v>2.0805341880341879</v>
      </c>
      <c r="F9" s="26"/>
      <c r="G9" s="26">
        <f>ex!AB17/I4</f>
        <v>1.8059368682712063</v>
      </c>
      <c r="H9" s="26">
        <f>IF(G8=G10,H8,H8+(H10-H8)/(G10-G8)*(G9-G8))</f>
        <v>0.56833767688406223</v>
      </c>
      <c r="I9" s="27">
        <f>IF(H7=J7,H9,H9+(J9-H9)/(J7-H7)*(I7-H7))</f>
        <v>0.61554611562899919</v>
      </c>
      <c r="J9" s="26">
        <f>IF(G8=G10,J8,J8+(J10-J8)/(G10-G8)*(G9-G8))</f>
        <v>0.68898146478778988</v>
      </c>
      <c r="K9" s="26"/>
      <c r="L9" s="26">
        <f>'DB400'!AB17/N4</f>
        <v>0.73653179325458829</v>
      </c>
      <c r="M9" s="26">
        <f>IF(L8=L10,M8,M8+(M10-M8)/(L10-L8)*(L9-L8))</f>
        <v>1.5942427721417409</v>
      </c>
      <c r="N9" s="27">
        <f>IF(M7=O7,M9,M9+(O9-M9)/(O7-M7)*(N7-M7))</f>
        <v>1.755781995769788</v>
      </c>
      <c r="O9" s="26">
        <f>IF(L8=L10,O8,O8+(O10-O8)/(L10-L8)*(L9-L8))</f>
        <v>1.8769364134908233</v>
      </c>
      <c r="P9" s="26"/>
      <c r="Q9" s="26">
        <f>'DB500'!AB17/S4</f>
        <v>1.5380829209341458</v>
      </c>
      <c r="R9" s="26">
        <f>IF(Q8=Q10,R8,R8+(R10-R8)/(Q10-Q8)*(Q9-Q8))</f>
        <v>0.66755310018430514</v>
      </c>
      <c r="S9" s="27">
        <f>IF(R7=T7,R9,R9+(T9-R9)/(T7-R7)*(S7-R7))</f>
        <v>0.77712808435972669</v>
      </c>
      <c r="T9" s="26">
        <f>IF(Q8=Q10,T8,T8+(T10-T8)/(Q10-Q8)*(Q9-Q8))</f>
        <v>0.80843522269556134</v>
      </c>
      <c r="U9" s="26"/>
      <c r="V9" s="26">
        <f>'DB600'!AB12/X4</f>
        <v>6.5217391304347823E-3</v>
      </c>
      <c r="W9" s="26">
        <f>IF(V8=V10,W8,W8+(W10-W8)/(V10-V8)*(V9-V8))</f>
        <v>1.0721739130434778</v>
      </c>
      <c r="X9" s="27">
        <f>IF(W7=Y7,W9,W9+(Y9-W9)/(Y7-W7)*(X7-W7))</f>
        <v>1.1119319470699427</v>
      </c>
      <c r="Y9" s="26">
        <f>IF(V8=V10,Y8,Y8+(Y10-Y8)/(V10-V8)*(V9-V8))</f>
        <v>1.3007826086956518</v>
      </c>
      <c r="Z9" s="26"/>
      <c r="AA9" s="26">
        <f>'DB700'!AB17/AC4</f>
        <v>0.39636752136752135</v>
      </c>
      <c r="AB9" s="26">
        <f>IF(AA8=AA10,AB8,AB8+(AB10-AB8)/(AA10-AA8)*(AA9-AA8))</f>
        <v>1.2023429487179484</v>
      </c>
      <c r="AC9" s="27">
        <f>IF(AB7=AD7,AB9,AB9+(AD9-AB9)/(AD7-AB7)*(AC7-AB7))</f>
        <v>1.4473942307692309</v>
      </c>
      <c r="AD9" s="26">
        <f>IF(AA8=AA10,AD8,AD8+(AD10-AD8)/(AA10-AA8)*(AA9-AA8))</f>
        <v>1.4678151709401712</v>
      </c>
    </row>
    <row r="10" spans="1:30">
      <c r="B10" s="26">
        <v>0.4</v>
      </c>
      <c r="C10" s="26">
        <v>1.69</v>
      </c>
      <c r="D10" s="26">
        <f>IF(C7=E7,C10,C10+(E10-C10)/(E7-C7)*(D7-C7))</f>
        <v>2.0407692307692304</v>
      </c>
      <c r="E10" s="26">
        <v>2.0699999999999998</v>
      </c>
      <c r="F10" s="26"/>
      <c r="G10" s="26">
        <v>2</v>
      </c>
      <c r="H10" s="26">
        <v>0.51400000000000001</v>
      </c>
      <c r="I10" s="26">
        <f>IF(H7=J7,H10,H10+(J10-H10)/(J7-H7)*(I7-H7))</f>
        <v>0.55665217391304345</v>
      </c>
      <c r="J10" s="26">
        <v>0.623</v>
      </c>
      <c r="K10" s="26"/>
      <c r="L10" s="26">
        <v>0.8</v>
      </c>
      <c r="M10" s="26">
        <v>1.48</v>
      </c>
      <c r="N10" s="26">
        <f>IF(M7=O7,M10,M10+(O10-M10)/(O7-M7)*(N7-M7))</f>
        <v>1.6342857142857143</v>
      </c>
      <c r="O10" s="26">
        <v>1.75</v>
      </c>
      <c r="P10" s="26"/>
      <c r="Q10" s="26">
        <v>1.6</v>
      </c>
      <c r="R10" s="26">
        <v>0.64</v>
      </c>
      <c r="S10" s="26">
        <f>IF(R7=T7,R10,R10+(T10-R10)/(T7-R7)*(S7-R7))</f>
        <v>0.745</v>
      </c>
      <c r="T10" s="26">
        <v>0.77500000000000002</v>
      </c>
      <c r="U10" s="26"/>
      <c r="V10" s="26">
        <v>2</v>
      </c>
      <c r="W10" s="26">
        <v>0.51400000000000001</v>
      </c>
      <c r="X10" s="26">
        <f>IF(W7=Y7,W10,W10+(Y10-W10)/(Y7-W7)*(X7-W7))</f>
        <v>0.53295652173913044</v>
      </c>
      <c r="Y10" s="26">
        <v>0.623</v>
      </c>
      <c r="Z10" s="26"/>
      <c r="AA10" s="26">
        <v>1.2</v>
      </c>
      <c r="AB10" s="26">
        <v>0.68400000000000005</v>
      </c>
      <c r="AC10" s="26">
        <f>IF(AB7=AD7,AB10,AB10+(AD10-AB10)/(AD7-AB7)*(AC7-AB7))</f>
        <v>0.83261538461538454</v>
      </c>
      <c r="AD10" s="26">
        <v>0.84499999999999997</v>
      </c>
    </row>
    <row r="12" spans="1:30">
      <c r="A12" s="22" t="s">
        <v>47</v>
      </c>
      <c r="B12" s="26"/>
      <c r="D12" s="26">
        <f>D9</f>
        <v>2.0512195923734384</v>
      </c>
      <c r="E12" s="26"/>
      <c r="G12" s="26"/>
      <c r="I12" s="26">
        <f>I9</f>
        <v>0.61554611562899919</v>
      </c>
      <c r="L12" s="26"/>
      <c r="N12" s="26">
        <f>N9</f>
        <v>1.755781995769788</v>
      </c>
      <c r="Q12" s="26"/>
      <c r="S12" s="26">
        <f>S9</f>
        <v>0.77712808435972669</v>
      </c>
      <c r="V12" s="26"/>
      <c r="X12" s="26">
        <f>X9</f>
        <v>1.1119319470699427</v>
      </c>
      <c r="AA12" s="26"/>
      <c r="AC12" s="26">
        <f>AC9</f>
        <v>1.4473942307692309</v>
      </c>
    </row>
    <row r="13" spans="1:30" ht="17.25" customHeight="1">
      <c r="A13" s="58" t="s">
        <v>141</v>
      </c>
      <c r="D13" s="28">
        <v>1</v>
      </c>
      <c r="E13" s="28"/>
      <c r="I13" s="28">
        <v>1</v>
      </c>
      <c r="N13" s="28">
        <v>1</v>
      </c>
      <c r="S13" s="28">
        <v>1</v>
      </c>
      <c r="X13" s="28">
        <v>1</v>
      </c>
      <c r="AC13" s="28">
        <v>1</v>
      </c>
    </row>
    <row r="14" spans="1:30">
      <c r="A14" s="22" t="s">
        <v>48</v>
      </c>
      <c r="D14" s="23">
        <f>D4/25.4</f>
        <v>20.472440944881892</v>
      </c>
      <c r="I14" s="23">
        <f>I4/25.4</f>
        <v>18.110236220472441</v>
      </c>
      <c r="N14" s="23">
        <f>N4/25.4</f>
        <v>11.023622047244094</v>
      </c>
      <c r="S14" s="23">
        <f>S4/25.4</f>
        <v>14.173228346456694</v>
      </c>
      <c r="X14" s="23">
        <f>X4/25.4</f>
        <v>18.110236220472441</v>
      </c>
      <c r="AC14" s="23">
        <f>AC4/25.4</f>
        <v>20.472440944881892</v>
      </c>
    </row>
    <row r="15" spans="1:30">
      <c r="A15" s="22" t="s">
        <v>51</v>
      </c>
      <c r="D15" s="37">
        <f>D3/(0.75*D12*D13*D14)</f>
        <v>6.2992125984251972</v>
      </c>
      <c r="E15" s="37">
        <f>E3/(0.75*D12*D13*D14)</f>
        <v>6.3837217091663678</v>
      </c>
      <c r="I15" s="37">
        <f>I3/(0.75*I12*I13*I14)</f>
        <v>6.8228219399346957</v>
      </c>
      <c r="N15" s="23">
        <f>N3/(0.75*N12*N13*N14)</f>
        <v>1.353665565282919</v>
      </c>
      <c r="S15" s="26">
        <f>S3/(0.75*S12*S13*S14)</f>
        <v>4.0491409898212636</v>
      </c>
      <c r="X15" s="23">
        <f>X3/(0.75*X12*X13*X14)</f>
        <v>57.543581778042352</v>
      </c>
      <c r="AC15" s="37">
        <f>AC3/(0.75*AC12*AC13*AC14)</f>
        <v>9.0468890670806079</v>
      </c>
    </row>
    <row r="16" spans="1:30">
      <c r="A16" s="22" t="s">
        <v>32</v>
      </c>
      <c r="D16" s="61">
        <f>D15/16*25.4</f>
        <v>10</v>
      </c>
      <c r="E16" s="42">
        <f>E15/16*25.4</f>
        <v>10.134158213301609</v>
      </c>
      <c r="I16" s="42">
        <f>I15/16*25.4</f>
        <v>10.831229829646329</v>
      </c>
      <c r="N16" s="42">
        <f>N15/16*25.4</f>
        <v>2.1489440848866339</v>
      </c>
      <c r="S16" s="42">
        <f>S15/16*25.4</f>
        <v>6.4280113213412555</v>
      </c>
      <c r="X16" s="42">
        <f>X15/16*25.4</f>
        <v>91.350436072642225</v>
      </c>
      <c r="AC16" s="42">
        <f>AC15/16*25.4</f>
        <v>14.361936393990463</v>
      </c>
    </row>
    <row r="17" spans="1:30">
      <c r="D17" s="61"/>
      <c r="E17" s="67">
        <f>(E16-D16)/D16</f>
        <v>1.341582133016086E-2</v>
      </c>
    </row>
    <row r="19" spans="1:30">
      <c r="D19" s="25"/>
    </row>
    <row r="20" spans="1:30">
      <c r="B20" s="28"/>
      <c r="C20" s="28"/>
      <c r="E20" s="28"/>
      <c r="F20" s="28"/>
      <c r="K20" s="28"/>
      <c r="P20" s="28"/>
      <c r="U20" s="28"/>
      <c r="Z20" s="28"/>
    </row>
    <row r="21" spans="1:30" ht="32.25" customHeight="1">
      <c r="B21" s="78" t="s">
        <v>80</v>
      </c>
      <c r="C21" s="79"/>
      <c r="D21" s="79"/>
      <c r="E21" s="79"/>
      <c r="G21" s="78" t="s">
        <v>81</v>
      </c>
      <c r="H21" s="79"/>
      <c r="I21" s="79"/>
      <c r="J21" s="79"/>
      <c r="L21" s="78" t="s">
        <v>146</v>
      </c>
      <c r="M21" s="79"/>
      <c r="N21" s="79"/>
      <c r="O21" s="79"/>
      <c r="Q21" s="79"/>
      <c r="R21" s="79"/>
      <c r="S21" s="79"/>
      <c r="T21" s="79"/>
      <c r="V21" s="79" t="s">
        <v>53</v>
      </c>
      <c r="W21" s="79"/>
      <c r="X21" s="79"/>
      <c r="Y21" s="79"/>
      <c r="AA21" s="78" t="s">
        <v>82</v>
      </c>
      <c r="AB21" s="79"/>
      <c r="AC21" s="79"/>
      <c r="AD21" s="79"/>
    </row>
    <row r="22" spans="1:30">
      <c r="A22" s="63" t="s">
        <v>152</v>
      </c>
      <c r="D22" s="24">
        <f>'DB800'!Z61*2</f>
        <v>594.9234212065785</v>
      </c>
      <c r="I22" s="24">
        <f>'DB900'!Z61*2</f>
        <v>760.99742106507176</v>
      </c>
      <c r="N22" s="24">
        <f>'DB588'!Z61*2</f>
        <v>313.26928468047447</v>
      </c>
      <c r="X22" s="24">
        <f>'CW1'!Z61*2</f>
        <v>1067.9994807703752</v>
      </c>
      <c r="AC22" s="23">
        <f>AC23/0.22480894</f>
        <v>280.23796562538837</v>
      </c>
    </row>
    <row r="23" spans="1:30">
      <c r="A23" s="64" t="s">
        <v>153</v>
      </c>
      <c r="D23" s="24">
        <f>D22*0.22480894</f>
        <v>133.74410370262444</v>
      </c>
      <c r="I23" s="24">
        <f>I22*0.22480894</f>
        <v>171.07902357237248</v>
      </c>
      <c r="N23" s="24">
        <f>N22*0.22480894</f>
        <v>70.425735823575707</v>
      </c>
      <c r="S23" s="24"/>
      <c r="X23" s="24">
        <v>240</v>
      </c>
      <c r="AC23" s="24">
        <v>63</v>
      </c>
    </row>
    <row r="24" spans="1:30">
      <c r="A24" s="22" t="s">
        <v>33</v>
      </c>
      <c r="D24" s="28">
        <f>stiffener_C_shaped_weld!H79</f>
        <v>620</v>
      </c>
      <c r="I24" s="28">
        <f>stiffener_C_shaped_weld!I79</f>
        <v>720</v>
      </c>
      <c r="N24" s="28">
        <f>stiffener_C_shaped_weld!F79</f>
        <v>420</v>
      </c>
      <c r="S24" s="28"/>
      <c r="X24" s="28">
        <v>860</v>
      </c>
      <c r="AC24" s="28">
        <v>560</v>
      </c>
    </row>
    <row r="25" spans="1:30">
      <c r="A25" s="22" t="s">
        <v>34</v>
      </c>
      <c r="D25" s="28">
        <f>stiffener_C_shaped_weld!H80</f>
        <v>100</v>
      </c>
      <c r="I25" s="28">
        <f>stiffener_C_shaped_weld!I80</f>
        <v>100</v>
      </c>
      <c r="N25" s="28">
        <f>stiffener_C_shaped_weld!F80</f>
        <v>100</v>
      </c>
      <c r="S25" s="28"/>
      <c r="X25" s="28">
        <f>ROUND(4*25.4/10,0)*10</f>
        <v>100</v>
      </c>
      <c r="AC25" s="28">
        <f>ROUND(4*25.4/10,0)*10</f>
        <v>100</v>
      </c>
    </row>
    <row r="26" spans="1:30">
      <c r="D26" s="25" t="s">
        <v>49</v>
      </c>
      <c r="I26" s="25" t="s">
        <v>49</v>
      </c>
      <c r="N26" s="25" t="s">
        <v>49</v>
      </c>
      <c r="S26" s="25"/>
      <c r="X26" s="25" t="s">
        <v>49</v>
      </c>
      <c r="AC26" s="25" t="s">
        <v>49</v>
      </c>
    </row>
    <row r="27" spans="1:30">
      <c r="B27" s="26"/>
      <c r="C27" s="26">
        <v>0.1</v>
      </c>
      <c r="D27" s="26">
        <f>D25/D24</f>
        <v>0.16129032258064516</v>
      </c>
      <c r="E27" s="26">
        <v>0.2</v>
      </c>
      <c r="F27" s="26"/>
      <c r="G27" s="26"/>
      <c r="H27" s="26">
        <v>0.1</v>
      </c>
      <c r="I27" s="26">
        <f>I25/I24</f>
        <v>0.1388888888888889</v>
      </c>
      <c r="J27" s="26">
        <v>0.2</v>
      </c>
      <c r="K27" s="26"/>
      <c r="L27" s="26"/>
      <c r="M27" s="26">
        <v>0.2</v>
      </c>
      <c r="N27" s="26">
        <f>N25/N24</f>
        <v>0.23809523809523808</v>
      </c>
      <c r="O27" s="26">
        <v>0.3</v>
      </c>
      <c r="P27" s="26"/>
      <c r="Q27" s="26"/>
      <c r="R27" s="26"/>
      <c r="S27" s="26"/>
      <c r="T27" s="26"/>
      <c r="U27" s="26"/>
      <c r="V27" s="26"/>
      <c r="W27" s="26">
        <v>0.1</v>
      </c>
      <c r="X27" s="26">
        <f>X25/X24</f>
        <v>0.11627906976744186</v>
      </c>
      <c r="Y27" s="26">
        <v>0.2</v>
      </c>
      <c r="Z27" s="26"/>
      <c r="AA27" s="26"/>
      <c r="AB27" s="26">
        <v>0.1</v>
      </c>
      <c r="AC27" s="26">
        <f>AC25/AC24</f>
        <v>0.17857142857142858</v>
      </c>
      <c r="AD27" s="26">
        <v>0.2</v>
      </c>
    </row>
    <row r="28" spans="1:30">
      <c r="B28" s="26">
        <v>1</v>
      </c>
      <c r="C28" s="26">
        <v>0.81299999999999994</v>
      </c>
      <c r="D28" s="26">
        <f>IF(C27=E27,C28,C28+(E28-C28)/(E27-C27)*(D27-C27))</f>
        <v>0.92761290322580647</v>
      </c>
      <c r="E28" s="26">
        <v>1</v>
      </c>
      <c r="F28" s="26"/>
      <c r="G28" s="26">
        <v>1</v>
      </c>
      <c r="H28" s="26">
        <v>0.81299999999999994</v>
      </c>
      <c r="I28" s="26">
        <f>IF(H27=J27,H28,H28+(J28-H28)/(J27-H27)*(I27-H27))</f>
        <v>0.88572222222222219</v>
      </c>
      <c r="J28" s="26">
        <v>1</v>
      </c>
      <c r="K28" s="26"/>
      <c r="L28" s="26">
        <v>0.9</v>
      </c>
      <c r="M28" s="26">
        <v>1.1100000000000001</v>
      </c>
      <c r="N28" s="26">
        <f>IF(M27=O27,M28,M28+(O28-M28)/(O27-M27)*(N27-M27))</f>
        <v>1.1976190476190476</v>
      </c>
      <c r="O28" s="26">
        <v>1.34</v>
      </c>
      <c r="P28" s="26"/>
      <c r="Q28" s="26"/>
      <c r="R28" s="26"/>
      <c r="S28" s="26"/>
      <c r="T28" s="26"/>
      <c r="U28" s="26"/>
      <c r="V28" s="26">
        <v>1.2</v>
      </c>
      <c r="W28" s="26">
        <v>0.68400000000000005</v>
      </c>
      <c r="X28" s="26">
        <f>IF(W27=Y27,W28,W28+(Y28-W28)/(Y27-W27)*(X27-W27))</f>
        <v>0.71020930232558144</v>
      </c>
      <c r="Y28" s="26">
        <v>0.84499999999999997</v>
      </c>
      <c r="Z28" s="26"/>
      <c r="AA28" s="26">
        <v>2</v>
      </c>
      <c r="AB28" s="26">
        <v>0.41499999999999998</v>
      </c>
      <c r="AC28" s="26">
        <f>IF(AB27=AD27,AB28,AB28+(AD28-AB28)/(AD27-AB27)*(AC27-AB27))</f>
        <v>0.49278571428571427</v>
      </c>
      <c r="AD28" s="26">
        <v>0.51400000000000001</v>
      </c>
    </row>
    <row r="29" spans="1:30">
      <c r="A29" s="22" t="s">
        <v>3</v>
      </c>
      <c r="B29" s="26">
        <f>'DB800'!AB17/D24</f>
        <v>1.0340301678358998</v>
      </c>
      <c r="C29" s="26">
        <f>IF(B28=B30,C28,C28+(C30-C28)/(B30-B28)*(B29-B28))</f>
        <v>0.79105054174584455</v>
      </c>
      <c r="D29" s="27">
        <f>IF(C27=E27,C29,C29+(E29-C29)/(E27-C27)*(D27-C27))</f>
        <v>0.90295200901827444</v>
      </c>
      <c r="E29" s="26">
        <f>IF(B28=B30,E28,E28+(E30-E28)/(B30-B28)*(B29-B28))</f>
        <v>0.97362661992717758</v>
      </c>
      <c r="F29" s="26"/>
      <c r="G29" s="26">
        <f>'DB900'!AB17/I24</f>
        <v>1.1191082498646696</v>
      </c>
      <c r="H29" s="26">
        <f>IF(G28=G30,H28,H28+(H30-H28)/(G30-G28)*(G29-G28))</f>
        <v>0.73617517883728811</v>
      </c>
      <c r="I29" s="27">
        <f>IF(H27=J27,H29,H29+(J29-H29)/(J27-H27)*(I27-H27))</f>
        <v>0.80287581731635205</v>
      </c>
      <c r="J29" s="26">
        <f>IF(G28=G30,J28,J28+(J30-J28)/(G30-G28)*(G29-G28))</f>
        <v>0.90769110635488104</v>
      </c>
      <c r="K29" s="26"/>
      <c r="L29" s="26">
        <f>'DB588'!AB17/N24</f>
        <v>0.97312511496442688</v>
      </c>
      <c r="M29" s="26">
        <f>IF(L28=L30,M28,M28+(M30-M28)/(L30-L28)*(L29-L28))</f>
        <v>1.0295623735391304</v>
      </c>
      <c r="N29" s="27">
        <f>IF(M27=O27,M29,M29+(O29-M29)/(O27-M27)*(N27-M27))</f>
        <v>1.111609983827555</v>
      </c>
      <c r="O29" s="26">
        <f>IF(L28=L30,O28,O28+(O30-O28)/(L30-L28)*(L29-L28))</f>
        <v>1.2449373505462451</v>
      </c>
      <c r="P29" s="25"/>
      <c r="Q29" s="25"/>
      <c r="R29" s="25"/>
      <c r="S29" s="25"/>
      <c r="T29" s="26"/>
      <c r="U29" s="26"/>
      <c r="V29" s="26">
        <f>'CW1'!AB17/X24</f>
        <v>1.2713663098835977</v>
      </c>
      <c r="W29" s="26">
        <f>IF(V28=V30,W28,W28+(W30-W28)/(V30-V28)*(V29-V28))</f>
        <v>0.65010100280529115</v>
      </c>
      <c r="X29" s="27">
        <f>IF(W27=Y27,W29,W29+(Y29-W29)/(Y27-W27)*(X27-W27))</f>
        <v>0.67509043913635058</v>
      </c>
      <c r="Y29" s="26">
        <f>IF(V28=V30,Y28,Y28+(Y30-Y28)/(V30-V28)*(V29-V28))</f>
        <v>0.80360754026751335</v>
      </c>
      <c r="Z29" s="26"/>
      <c r="AA29" s="26">
        <f>'CW2'!AB17/AC24</f>
        <v>2.0236976369495165</v>
      </c>
      <c r="AB29" s="26">
        <f>IF(AA28=AA30,AB28,AB28+(AB30-AB28)/(AA30-AA28)*(AA29-AA28))</f>
        <v>0.41061593716433942</v>
      </c>
      <c r="AC29" s="27">
        <f>IF(AB27=AD27,AB29,AB29+(AD29-AB29)/(AD27-AB27)*(AC27-AB27))</f>
        <v>0.48756377071505297</v>
      </c>
      <c r="AD29" s="26">
        <f>IF(AA28=AA30,AD28,AD28+(AD30-AD28)/(AA30-AA28)*(AA29-AA28))</f>
        <v>0.50854954350161119</v>
      </c>
    </row>
    <row r="30" spans="1:30">
      <c r="B30" s="26">
        <v>1.2</v>
      </c>
      <c r="C30" s="26">
        <v>0.68400000000000005</v>
      </c>
      <c r="D30" s="26">
        <f>IF(C27=E27,C30,C30+(E30-C30)/(E27-C27)*(D27-C27))</f>
        <v>0.7826774193548387</v>
      </c>
      <c r="E30" s="26">
        <v>0.84499999999999997</v>
      </c>
      <c r="F30" s="26"/>
      <c r="G30" s="26">
        <v>1.2</v>
      </c>
      <c r="H30" s="26">
        <v>0.68400000000000005</v>
      </c>
      <c r="I30" s="26">
        <f>IF(H27=J27,H30,H30+(J30-H30)/(J27-H27)*(I27-H27))</f>
        <v>0.74661111111111111</v>
      </c>
      <c r="J30" s="26">
        <v>0.84499999999999997</v>
      </c>
      <c r="K30" s="26"/>
      <c r="L30" s="26">
        <v>1</v>
      </c>
      <c r="M30" s="26">
        <v>1</v>
      </c>
      <c r="N30" s="26">
        <f>IF(M27=O27,M30,M30+(O30-M30)/(O27-M27)*(N27-M27))</f>
        <v>1.0799999999999998</v>
      </c>
      <c r="O30" s="26">
        <v>1.21</v>
      </c>
      <c r="P30" s="25"/>
      <c r="Q30" s="25"/>
      <c r="R30" s="25"/>
      <c r="S30" s="25"/>
      <c r="T30" s="26"/>
      <c r="U30" s="26"/>
      <c r="V30" s="26">
        <v>1.4</v>
      </c>
      <c r="W30" s="26">
        <v>0.58899999999999997</v>
      </c>
      <c r="X30" s="26">
        <f>IF(W27=Y27,W30,W30+(Y30-W30)/(Y27-W27)*(X27-W27))</f>
        <v>0.61179069767441852</v>
      </c>
      <c r="Y30" s="26">
        <v>0.72899999999999998</v>
      </c>
      <c r="Z30" s="26"/>
      <c r="AA30" s="26">
        <v>2.2000000000000002</v>
      </c>
      <c r="AB30" s="26">
        <v>0.378</v>
      </c>
      <c r="AC30" s="26">
        <f>IF(AB27=AD27,AB30,AB30+(AD30-AB30)/(AD27-AB27)*(AC27-AB27))</f>
        <v>0.44871428571428573</v>
      </c>
      <c r="AD30" s="26">
        <v>0.46800000000000003</v>
      </c>
    </row>
    <row r="31" spans="1:30">
      <c r="P31" s="25"/>
      <c r="Q31" s="25"/>
      <c r="R31" s="25"/>
      <c r="S31" s="25"/>
    </row>
    <row r="32" spans="1:30">
      <c r="A32" s="22" t="s">
        <v>47</v>
      </c>
      <c r="B32" s="26"/>
      <c r="D32" s="26">
        <f>D29</f>
        <v>0.90295200901827444</v>
      </c>
      <c r="G32" s="26"/>
      <c r="I32" s="26">
        <f>I29</f>
        <v>0.80287581731635205</v>
      </c>
      <c r="L32" s="26"/>
      <c r="N32" s="26">
        <f>N29</f>
        <v>1.111609983827555</v>
      </c>
      <c r="P32" s="25"/>
      <c r="Q32" s="25"/>
      <c r="R32" s="25"/>
      <c r="S32" s="25"/>
      <c r="V32" s="26"/>
      <c r="X32" s="26">
        <f>X29</f>
        <v>0.67509043913635058</v>
      </c>
      <c r="AA32" s="26"/>
      <c r="AC32" s="26">
        <f>AC29</f>
        <v>0.48756377071505297</v>
      </c>
    </row>
    <row r="33" spans="1:29" ht="17.25" customHeight="1">
      <c r="A33" s="58" t="s">
        <v>141</v>
      </c>
      <c r="D33" s="28">
        <v>1</v>
      </c>
      <c r="I33" s="28">
        <v>1</v>
      </c>
      <c r="N33" s="28">
        <v>1</v>
      </c>
      <c r="P33" s="25"/>
      <c r="Q33" s="25"/>
      <c r="R33" s="25"/>
      <c r="S33" s="28"/>
      <c r="V33" s="23">
        <f>'CW1'!AB17/X24</f>
        <v>1.2713663098835977</v>
      </c>
      <c r="X33" s="28">
        <v>1</v>
      </c>
      <c r="AC33" s="28">
        <v>1</v>
      </c>
    </row>
    <row r="34" spans="1:29">
      <c r="A34" s="22" t="s">
        <v>48</v>
      </c>
      <c r="D34" s="23">
        <f>D24/25.4</f>
        <v>24.409448818897641</v>
      </c>
      <c r="I34" s="23">
        <f>I24/25.4</f>
        <v>28.346456692913389</v>
      </c>
      <c r="N34" s="23">
        <f>N24/25.4</f>
        <v>16.535433070866144</v>
      </c>
      <c r="P34" s="25"/>
      <c r="Q34" s="25"/>
      <c r="R34" s="25"/>
      <c r="S34" s="25"/>
      <c r="X34" s="23">
        <f>X24/25.4</f>
        <v>33.858267716535437</v>
      </c>
      <c r="AC34" s="23">
        <f>AC24/25.4</f>
        <v>22.047244094488189</v>
      </c>
    </row>
    <row r="35" spans="1:29">
      <c r="A35" s="22" t="s">
        <v>51</v>
      </c>
      <c r="D35" s="23">
        <f>D23/(0.75*D32*D33*D34)</f>
        <v>8.0907864739329245</v>
      </c>
      <c r="I35" s="23">
        <f>I23/(0.75*I32*I33*I34)</f>
        <v>10.022783342673637</v>
      </c>
      <c r="N35" s="23">
        <f>N23/(0.75*N32*N33*N34)</f>
        <v>5.1086025687143035</v>
      </c>
      <c r="P35" s="25"/>
      <c r="Q35" s="25"/>
      <c r="R35" s="25"/>
      <c r="S35" s="25"/>
      <c r="V35" s="23">
        <f>(35.3+3.6)/(X24/25.4)</f>
        <v>1.148906976744186</v>
      </c>
      <c r="X35" s="23">
        <f>X23/(0.75*X32*X33*X34)</f>
        <v>13.999846898718685</v>
      </c>
      <c r="AC35" s="23">
        <f>AC23/(0.75*AC32*AC33*AC34)</f>
        <v>7.8143624051727967</v>
      </c>
    </row>
    <row r="36" spans="1:29">
      <c r="A36" s="22" t="s">
        <v>32</v>
      </c>
      <c r="D36" s="42">
        <f>D35/16*25.4</f>
        <v>12.844123527368517</v>
      </c>
      <c r="I36" s="42">
        <f>I35/16*25.4</f>
        <v>15.911168556494399</v>
      </c>
      <c r="N36" s="42">
        <f>N35/16*25.4</f>
        <v>8.1099065778339572</v>
      </c>
      <c r="P36" s="25"/>
      <c r="Q36" s="25"/>
      <c r="R36" s="25"/>
      <c r="S36" s="25"/>
      <c r="X36" s="42">
        <f>X35/16*25.4</f>
        <v>22.224756951715911</v>
      </c>
      <c r="AC36" s="42">
        <f>AC35/16*25.4</f>
        <v>12.405300318211815</v>
      </c>
    </row>
  </sheetData>
  <mergeCells count="12">
    <mergeCell ref="AA21:AD21"/>
    <mergeCell ref="B1:E1"/>
    <mergeCell ref="G1:J1"/>
    <mergeCell ref="L1:O1"/>
    <mergeCell ref="Q1:T1"/>
    <mergeCell ref="V1:Y1"/>
    <mergeCell ref="AA1:AD1"/>
    <mergeCell ref="B21:E21"/>
    <mergeCell ref="G21:J21"/>
    <mergeCell ref="L21:O21"/>
    <mergeCell ref="Q21:T21"/>
    <mergeCell ref="V21:Y2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63"/>
  <sheetViews>
    <sheetView zoomScale="85" zoomScaleNormal="85" workbookViewId="0">
      <selection activeCell="L15" sqref="L15"/>
    </sheetView>
  </sheetViews>
  <sheetFormatPr defaultRowHeight="16.5"/>
  <cols>
    <col min="1" max="2" width="9" customWidth="1"/>
    <col min="3" max="3" width="2.375" customWidth="1"/>
    <col min="8" max="8" width="8.875" hidden="1" customWidth="1"/>
    <col min="9" max="9" width="0" hidden="1" customWidth="1"/>
    <col min="10" max="10" width="8.875" customWidth="1"/>
    <col min="15" max="15" width="2.375" customWidth="1"/>
    <col min="16" max="17" width="9.375" bestFit="1" customWidth="1"/>
    <col min="18" max="18" width="10.375" bestFit="1" customWidth="1"/>
    <col min="19" max="20" width="9.375" customWidth="1"/>
    <col min="21" max="23" width="9.375" bestFit="1" customWidth="1"/>
    <col min="24" max="26" width="10.25" customWidth="1"/>
    <col min="27" max="27" width="15" customWidth="1"/>
    <col min="28" max="28" width="10.25" customWidth="1"/>
    <col min="29" max="29" width="13.75" customWidth="1"/>
    <col min="30" max="30" width="13.625" bestFit="1" customWidth="1"/>
    <col min="31" max="31" width="13.375" bestFit="1" customWidth="1"/>
  </cols>
  <sheetData>
    <row r="1" spans="1:30" ht="22.5" customHeight="1">
      <c r="A1" s="11" t="s">
        <v>28</v>
      </c>
      <c r="B1" s="11" t="s">
        <v>37</v>
      </c>
      <c r="C1" s="12"/>
      <c r="D1" s="13" t="s">
        <v>1</v>
      </c>
      <c r="E1" s="11" t="s">
        <v>21</v>
      </c>
      <c r="F1" s="13" t="s">
        <v>2</v>
      </c>
      <c r="G1" s="13" t="s">
        <v>3</v>
      </c>
      <c r="H1" s="13" t="s">
        <v>38</v>
      </c>
      <c r="I1" s="13" t="s">
        <v>39</v>
      </c>
      <c r="J1" s="11" t="s">
        <v>42</v>
      </c>
      <c r="K1" s="11" t="s">
        <v>43</v>
      </c>
      <c r="L1" s="11" t="s">
        <v>165</v>
      </c>
      <c r="M1" s="13" t="s">
        <v>19</v>
      </c>
      <c r="N1" s="13" t="s">
        <v>20</v>
      </c>
      <c r="O1" s="12"/>
      <c r="P1" s="14" t="s">
        <v>6</v>
      </c>
      <c r="Q1" s="14" t="s">
        <v>7</v>
      </c>
      <c r="R1" s="14" t="s">
        <v>8</v>
      </c>
      <c r="S1" s="14" t="s">
        <v>22</v>
      </c>
      <c r="T1" s="14" t="s">
        <v>23</v>
      </c>
      <c r="U1" s="14" t="s">
        <v>9</v>
      </c>
      <c r="V1" s="14" t="s">
        <v>10</v>
      </c>
      <c r="W1" s="14" t="s">
        <v>12</v>
      </c>
      <c r="X1" s="14" t="s">
        <v>13</v>
      </c>
      <c r="Y1" s="14" t="s">
        <v>14</v>
      </c>
      <c r="Z1" s="14" t="s">
        <v>15</v>
      </c>
      <c r="AA1" s="14" t="s">
        <v>16</v>
      </c>
      <c r="AB1" s="14" t="s">
        <v>40</v>
      </c>
      <c r="AC1" s="15"/>
    </row>
    <row r="2" spans="1:30" ht="22.5" customHeight="1">
      <c r="A2" s="11" t="s">
        <v>24</v>
      </c>
      <c r="B2" s="11" t="s">
        <v>4</v>
      </c>
      <c r="C2" s="12"/>
      <c r="D2" s="13" t="s">
        <v>0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44</v>
      </c>
      <c r="N2" s="13" t="s">
        <v>5</v>
      </c>
      <c r="O2" s="12"/>
      <c r="P2" s="13" t="s">
        <v>4</v>
      </c>
      <c r="Q2" s="13" t="s">
        <v>4</v>
      </c>
      <c r="R2" s="13"/>
      <c r="S2" s="13" t="s">
        <v>4</v>
      </c>
      <c r="T2" s="13" t="s">
        <v>4</v>
      </c>
      <c r="U2" s="13" t="s">
        <v>4</v>
      </c>
      <c r="V2" s="14" t="s">
        <v>11</v>
      </c>
      <c r="W2" s="13"/>
      <c r="X2" s="13" t="s">
        <v>18</v>
      </c>
      <c r="Y2" s="13" t="s">
        <v>18</v>
      </c>
      <c r="Z2" s="13" t="s">
        <v>18</v>
      </c>
      <c r="AA2" s="13" t="s">
        <v>17</v>
      </c>
      <c r="AB2" s="14" t="s">
        <v>4</v>
      </c>
      <c r="AC2" s="15"/>
    </row>
    <row r="3" spans="1:30">
      <c r="A3" s="7">
        <f>stiffener_C_shaped_weld!H30</f>
        <v>490</v>
      </c>
      <c r="B3" s="3">
        <v>-52.722700000000003</v>
      </c>
      <c r="D3" s="1">
        <v>1</v>
      </c>
      <c r="E3" s="2">
        <v>10</v>
      </c>
      <c r="F3" s="20">
        <v>12.690759999999999</v>
      </c>
      <c r="G3" s="2">
        <f>F3/SQRT(2)</f>
        <v>8.9737224544109893</v>
      </c>
      <c r="H3" s="20">
        <f t="shared" ref="H3:H12" si="0">(MAX($D$3:$D$14)-D3+0.5)*E3-$AB$3</f>
        <v>82.804878048780495</v>
      </c>
      <c r="I3" s="2">
        <f>(MAX(D17:D59)-MAX(D3:D14))*E17</f>
        <v>310</v>
      </c>
      <c r="J3" s="20">
        <f>H3-B3</f>
        <v>135.5275780487805</v>
      </c>
      <c r="K3" s="2">
        <f>I3</f>
        <v>310</v>
      </c>
      <c r="L3" s="2">
        <f>SQRT(J3^2+K3^2)</f>
        <v>338.33079140357336</v>
      </c>
      <c r="M3" s="2">
        <f>ABS(J3/K3)</f>
        <v>0.43718573564122742</v>
      </c>
      <c r="N3" s="2">
        <f>ATAN(M3)*180/PI()</f>
        <v>23.614262735950433</v>
      </c>
      <c r="P3" s="4">
        <f>0.209 * (N3+2)^-0.32 * F3</f>
        <v>0.9395496216534559</v>
      </c>
      <c r="Q3" s="4">
        <f>MIN(1.087*(N3+6)^-0.65 * F3, 0.17*F3)</f>
        <v>1.524900735318498</v>
      </c>
      <c r="R3" s="4">
        <f>Q3/L3</f>
        <v>4.5071296318978564E-3</v>
      </c>
      <c r="S3" s="4">
        <f t="shared" ref="S3:S12" si="1">INDEX($Q$3:$Q$59, MATCH(MIN($R$3:$R$59),$R$3:$R$59,0))</f>
        <v>0.74890051638954547</v>
      </c>
      <c r="T3" s="2">
        <f t="shared" ref="T3:T12" si="2">INDEX($L$3:$L$59, MATCH(MIN($R$3:$R$59),$R$3:$R$59,0))</f>
        <v>307.68081607812337</v>
      </c>
      <c r="U3" s="6">
        <f>S3*L3/T3</f>
        <v>0.82350309526052756</v>
      </c>
      <c r="V3" s="4">
        <f>U3/P3</f>
        <v>0.87648707027447348</v>
      </c>
      <c r="W3" s="4">
        <f>POWER(V3*(1.9-0.9*V3),0.3)</f>
        <v>0.99210314372744057</v>
      </c>
      <c r="X3" s="3">
        <f>0.6*A3*G3*E3*(1+0.5*SIN(N3*PI()/180)^1.5)*W3/1000</f>
        <v>29.492400536804833</v>
      </c>
      <c r="Y3" s="8">
        <f>X3*COS(N3*PI()/180)</f>
        <v>27.022796620080072</v>
      </c>
      <c r="Z3" s="3">
        <f>X3*SIN(N3*PI()/180)</f>
        <v>11.81398121943298</v>
      </c>
      <c r="AA3" s="3">
        <f>L3*X3</f>
        <v>9978.1872140083506</v>
      </c>
      <c r="AB3" s="3">
        <f>(MAX(D3:D14)*E3*G3*MAX(D3:D14)*E3/2)/(MAX(D3:D14)*E3*G3+I3*G3)</f>
        <v>12.195121951219511</v>
      </c>
      <c r="AC3" s="3"/>
      <c r="AD3" s="15"/>
    </row>
    <row r="4" spans="1:30">
      <c r="A4" s="7">
        <f>A3</f>
        <v>490</v>
      </c>
      <c r="B4" s="3">
        <f t="shared" ref="A4:B19" si="3">B3</f>
        <v>-52.722700000000003</v>
      </c>
      <c r="D4" s="1">
        <f>D3+1</f>
        <v>2</v>
      </c>
      <c r="E4" s="2">
        <f>E3</f>
        <v>10</v>
      </c>
      <c r="F4" s="2">
        <f>F3</f>
        <v>12.690759999999999</v>
      </c>
      <c r="G4" s="2">
        <f t="shared" ref="G4:G38" si="4">F4/SQRT(2)</f>
        <v>8.9737224544109893</v>
      </c>
      <c r="H4" s="20">
        <f t="shared" si="0"/>
        <v>72.804878048780495</v>
      </c>
      <c r="I4" s="2">
        <f>I3</f>
        <v>310</v>
      </c>
      <c r="J4" s="20">
        <f t="shared" ref="J4:J12" si="5">H4-B4</f>
        <v>125.5275780487805</v>
      </c>
      <c r="K4" s="2">
        <f>K3</f>
        <v>310</v>
      </c>
      <c r="L4" s="2">
        <f t="shared" ref="L4:L12" si="6">SQRT(J4^2+K4^2)</f>
        <v>334.45055367093158</v>
      </c>
      <c r="M4" s="2">
        <f t="shared" ref="M4:M12" si="7">ABS(J4/K4)</f>
        <v>0.40492767112509837</v>
      </c>
      <c r="N4" s="2">
        <f t="shared" ref="N4:N12" si="8">ATAN(M4)*180/PI()</f>
        <v>22.044387193329808</v>
      </c>
      <c r="P4" s="4">
        <f t="shared" ref="P4:P38" si="9">0.209 * (N4+2)^-0.32 * F4</f>
        <v>0.95875916621901092</v>
      </c>
      <c r="Q4" s="4">
        <f t="shared" ref="Q4:Q38" si="10">MIN(1.087*(N4+6)^-0.65 * F4, 0.17*F4)</f>
        <v>1.5798552754431641</v>
      </c>
      <c r="R4" s="4">
        <f t="shared" ref="R4:R38" si="11">Q4/L4</f>
        <v>4.7237334730131607E-3</v>
      </c>
      <c r="S4" s="4">
        <f t="shared" si="1"/>
        <v>0.74890051638954547</v>
      </c>
      <c r="T4" s="2">
        <f t="shared" si="2"/>
        <v>307.68081607812337</v>
      </c>
      <c r="U4" s="6">
        <f t="shared" ref="U4:U38" si="12">S4*L4/T4</f>
        <v>0.81405852839175086</v>
      </c>
      <c r="V4" s="4">
        <f t="shared" ref="V4:V38" si="13">U4/P4</f>
        <v>0.84907509317704311</v>
      </c>
      <c r="W4" s="4">
        <f t="shared" ref="W4:W38" si="14">POWER(V4*(1.9-0.9*V4),0.3)</f>
        <v>0.98918633486604657</v>
      </c>
      <c r="X4" s="3">
        <f t="shared" ref="X4:X38" si="15">0.6*A4*G4*E4*(1+0.5*SIN(N4*PI()/180)^1.5)*W4/1000</f>
        <v>29.097848232038015</v>
      </c>
      <c r="Y4" s="8">
        <f t="shared" ref="Y4:Y12" si="16">X4*COS(N4*PI()/180)</f>
        <v>26.97060253877456</v>
      </c>
      <c r="Z4" s="3">
        <f t="shared" ref="Z4:Z12" si="17">X4*SIN(N4*PI()/180)</f>
        <v>10.921143274866647</v>
      </c>
      <c r="AA4" s="3">
        <f t="shared" ref="AA4:AA38" si="18">L4*X4</f>
        <v>9731.7914518378511</v>
      </c>
      <c r="AB4" s="3">
        <f>I3-(MAX(D3:D14)*E3*G3*G3/2+I3*G3*I3/2)/(MAX(D3:D14)*E3*G3+I3*G3)</f>
        <v>191.7105216519011</v>
      </c>
      <c r="AC4" s="3"/>
      <c r="AD4" s="15"/>
    </row>
    <row r="5" spans="1:30">
      <c r="A5" s="7">
        <f t="shared" si="3"/>
        <v>490</v>
      </c>
      <c r="B5" s="3">
        <f t="shared" si="3"/>
        <v>-52.722700000000003</v>
      </c>
      <c r="D5" s="1">
        <f t="shared" ref="D5:D12" si="19">D4+1</f>
        <v>3</v>
      </c>
      <c r="E5" s="2">
        <f t="shared" ref="E5:F20" si="20">E4</f>
        <v>10</v>
      </c>
      <c r="F5" s="2">
        <f t="shared" si="20"/>
        <v>12.690759999999999</v>
      </c>
      <c r="G5" s="2">
        <f t="shared" si="4"/>
        <v>8.9737224544109893</v>
      </c>
      <c r="H5" s="20">
        <f t="shared" si="0"/>
        <v>62.804878048780488</v>
      </c>
      <c r="I5" s="2">
        <f t="shared" ref="I5:K12" si="21">I4</f>
        <v>310</v>
      </c>
      <c r="J5" s="20">
        <f t="shared" si="5"/>
        <v>115.5275780487805</v>
      </c>
      <c r="K5" s="2">
        <f t="shared" si="21"/>
        <v>310</v>
      </c>
      <c r="L5" s="2">
        <f t="shared" si="6"/>
        <v>330.82717737485996</v>
      </c>
      <c r="M5" s="2">
        <f t="shared" si="7"/>
        <v>0.37266960660896936</v>
      </c>
      <c r="N5" s="2">
        <f t="shared" si="8"/>
        <v>20.438895501935029</v>
      </c>
      <c r="P5" s="4">
        <f t="shared" si="9"/>
        <v>0.98019717124047812</v>
      </c>
      <c r="Q5" s="4">
        <f t="shared" si="10"/>
        <v>1.6415685563114846</v>
      </c>
      <c r="R5" s="4">
        <f t="shared" si="11"/>
        <v>4.9620123997594816E-3</v>
      </c>
      <c r="S5" s="4">
        <f t="shared" si="1"/>
        <v>0.74890051638954547</v>
      </c>
      <c r="T5" s="2">
        <f t="shared" si="2"/>
        <v>307.68081607812337</v>
      </c>
      <c r="U5" s="6">
        <f t="shared" si="12"/>
        <v>0.80523916677606699</v>
      </c>
      <c r="V5" s="4">
        <f t="shared" si="13"/>
        <v>0.82150733587305202</v>
      </c>
      <c r="W5" s="4">
        <f t="shared" si="14"/>
        <v>0.98580967327898072</v>
      </c>
      <c r="X5" s="3">
        <f t="shared" si="15"/>
        <v>28.691914788238599</v>
      </c>
      <c r="Y5" s="8">
        <f t="shared" si="16"/>
        <v>26.885619418974226</v>
      </c>
      <c r="Z5" s="3">
        <f t="shared" si="17"/>
        <v>10.019453212307589</v>
      </c>
      <c r="AA5" s="3">
        <f t="shared" si="18"/>
        <v>9492.0651828729788</v>
      </c>
      <c r="AB5" s="3"/>
      <c r="AC5" s="3"/>
      <c r="AD5" s="15"/>
    </row>
    <row r="6" spans="1:30">
      <c r="A6" s="7">
        <f t="shared" si="3"/>
        <v>490</v>
      </c>
      <c r="B6" s="3">
        <f t="shared" si="3"/>
        <v>-52.722700000000003</v>
      </c>
      <c r="D6" s="1">
        <f t="shared" si="19"/>
        <v>4</v>
      </c>
      <c r="E6" s="2">
        <f t="shared" si="20"/>
        <v>10</v>
      </c>
      <c r="F6" s="2">
        <f t="shared" si="20"/>
        <v>12.690759999999999</v>
      </c>
      <c r="G6" s="2">
        <f t="shared" si="4"/>
        <v>8.9737224544109893</v>
      </c>
      <c r="H6" s="20">
        <f t="shared" si="0"/>
        <v>52.804878048780488</v>
      </c>
      <c r="I6" s="2">
        <f t="shared" si="21"/>
        <v>310</v>
      </c>
      <c r="J6" s="20">
        <f t="shared" si="5"/>
        <v>105.5275780487805</v>
      </c>
      <c r="K6" s="2">
        <f t="shared" si="21"/>
        <v>310</v>
      </c>
      <c r="L6" s="2">
        <f t="shared" si="6"/>
        <v>327.46918897636988</v>
      </c>
      <c r="M6" s="2">
        <f t="shared" si="7"/>
        <v>0.3404115420928403</v>
      </c>
      <c r="N6" s="2">
        <f t="shared" si="8"/>
        <v>18.799166842771026</v>
      </c>
      <c r="P6" s="4">
        <f t="shared" si="9"/>
        <v>1.0042901814983243</v>
      </c>
      <c r="Q6" s="4">
        <f t="shared" si="10"/>
        <v>1.7113272522170404</v>
      </c>
      <c r="R6" s="4">
        <f t="shared" si="11"/>
        <v>5.2259183759133122E-3</v>
      </c>
      <c r="S6" s="4">
        <f t="shared" si="1"/>
        <v>0.74890051638954547</v>
      </c>
      <c r="T6" s="2">
        <f t="shared" si="2"/>
        <v>307.68081607812337</v>
      </c>
      <c r="U6" s="6">
        <f t="shared" si="12"/>
        <v>0.79706576396950135</v>
      </c>
      <c r="V6" s="4">
        <f t="shared" si="13"/>
        <v>0.79366081502493635</v>
      </c>
      <c r="W6" s="4">
        <f t="shared" si="14"/>
        <v>0.98193673190988551</v>
      </c>
      <c r="X6" s="3">
        <f t="shared" si="15"/>
        <v>28.275740277042846</v>
      </c>
      <c r="Y6" s="8">
        <f t="shared" si="16"/>
        <v>26.767341114695824</v>
      </c>
      <c r="Z6" s="3">
        <f t="shared" si="17"/>
        <v>9.1119118665786942</v>
      </c>
      <c r="AA6" s="3">
        <f t="shared" si="18"/>
        <v>9259.4337362296974</v>
      </c>
      <c r="AB6" s="3"/>
      <c r="AC6" s="3"/>
      <c r="AD6" s="15"/>
    </row>
    <row r="7" spans="1:30">
      <c r="A7" s="7">
        <f t="shared" si="3"/>
        <v>490</v>
      </c>
      <c r="B7" s="3">
        <f t="shared" si="3"/>
        <v>-52.722700000000003</v>
      </c>
      <c r="D7" s="1">
        <f t="shared" si="19"/>
        <v>5</v>
      </c>
      <c r="E7" s="2">
        <f t="shared" si="20"/>
        <v>10</v>
      </c>
      <c r="F7" s="2">
        <f t="shared" si="20"/>
        <v>12.690759999999999</v>
      </c>
      <c r="G7" s="2">
        <f t="shared" si="4"/>
        <v>8.9737224544109893</v>
      </c>
      <c r="H7" s="20">
        <f t="shared" si="0"/>
        <v>42.804878048780488</v>
      </c>
      <c r="I7" s="2">
        <f t="shared" si="21"/>
        <v>310</v>
      </c>
      <c r="J7" s="20">
        <f t="shared" si="5"/>
        <v>95.527578048780498</v>
      </c>
      <c r="K7" s="2">
        <f t="shared" si="21"/>
        <v>310</v>
      </c>
      <c r="L7" s="2">
        <f t="shared" si="6"/>
        <v>324.38483036027725</v>
      </c>
      <c r="M7" s="2">
        <f t="shared" si="7"/>
        <v>0.3081534775767113</v>
      </c>
      <c r="N7" s="2">
        <f t="shared" si="8"/>
        <v>17.126863687104983</v>
      </c>
      <c r="P7" s="4">
        <f t="shared" si="9"/>
        <v>1.0315918754778093</v>
      </c>
      <c r="Q7" s="4">
        <f t="shared" si="10"/>
        <v>1.7907761172399834</v>
      </c>
      <c r="R7" s="4">
        <f t="shared" si="11"/>
        <v>5.5205297832548522E-3</v>
      </c>
      <c r="S7" s="4">
        <f t="shared" si="1"/>
        <v>0.74890051638954547</v>
      </c>
      <c r="T7" s="2">
        <f t="shared" si="2"/>
        <v>307.68081607812337</v>
      </c>
      <c r="U7" s="6">
        <f t="shared" si="12"/>
        <v>0.78955838086461583</v>
      </c>
      <c r="V7" s="4">
        <f t="shared" si="13"/>
        <v>0.76537863435470621</v>
      </c>
      <c r="W7" s="4">
        <f t="shared" si="14"/>
        <v>0.97751464634984997</v>
      </c>
      <c r="X7" s="3">
        <f t="shared" si="15"/>
        <v>27.850222557993227</v>
      </c>
      <c r="Y7" s="8">
        <f t="shared" si="16"/>
        <v>26.615205721516162</v>
      </c>
      <c r="Z7" s="3">
        <f t="shared" si="17"/>
        <v>8.2015681995047895</v>
      </c>
      <c r="AA7" s="3">
        <f t="shared" si="18"/>
        <v>9034.1897199706</v>
      </c>
      <c r="AB7" s="3"/>
      <c r="AC7" s="3"/>
      <c r="AD7" s="15"/>
    </row>
    <row r="8" spans="1:30">
      <c r="A8" s="7">
        <f t="shared" si="3"/>
        <v>490</v>
      </c>
      <c r="B8" s="3">
        <f t="shared" si="3"/>
        <v>-52.722700000000003</v>
      </c>
      <c r="D8" s="1">
        <f t="shared" si="19"/>
        <v>6</v>
      </c>
      <c r="E8" s="2">
        <f t="shared" si="20"/>
        <v>10</v>
      </c>
      <c r="F8" s="2">
        <f t="shared" si="20"/>
        <v>12.690759999999999</v>
      </c>
      <c r="G8" s="2">
        <f t="shared" si="4"/>
        <v>8.9737224544109893</v>
      </c>
      <c r="H8" s="20">
        <f t="shared" si="0"/>
        <v>32.804878048780488</v>
      </c>
      <c r="I8" s="2">
        <f t="shared" si="21"/>
        <v>310</v>
      </c>
      <c r="J8" s="20">
        <f t="shared" si="5"/>
        <v>85.527578048780498</v>
      </c>
      <c r="K8" s="2">
        <f t="shared" si="21"/>
        <v>310</v>
      </c>
      <c r="L8" s="2">
        <f t="shared" si="6"/>
        <v>321.58197494090092</v>
      </c>
      <c r="M8" s="2">
        <f t="shared" si="7"/>
        <v>0.27589541306058224</v>
      </c>
      <c r="N8" s="2">
        <f t="shared" si="8"/>
        <v>15.423936674002144</v>
      </c>
      <c r="P8" s="4">
        <f t="shared" si="9"/>
        <v>1.0628380802982438</v>
      </c>
      <c r="Q8" s="4">
        <f t="shared" si="10"/>
        <v>1.882056451569055</v>
      </c>
      <c r="R8" s="4">
        <f t="shared" si="11"/>
        <v>5.8524936042044394E-3</v>
      </c>
      <c r="S8" s="4">
        <f t="shared" si="1"/>
        <v>0.74890051638954547</v>
      </c>
      <c r="T8" s="2">
        <f t="shared" si="2"/>
        <v>307.68081607812337</v>
      </c>
      <c r="U8" s="6">
        <f t="shared" si="12"/>
        <v>0.78273618149030322</v>
      </c>
      <c r="V8" s="4">
        <f t="shared" si="13"/>
        <v>0.73645854058095006</v>
      </c>
      <c r="W8" s="4">
        <f t="shared" si="14"/>
        <v>0.97246757214859147</v>
      </c>
      <c r="X8" s="3">
        <f t="shared" si="15"/>
        <v>27.415853049266481</v>
      </c>
      <c r="Y8" s="8">
        <f t="shared" si="16"/>
        <v>26.428454041413566</v>
      </c>
      <c r="Z8" s="3">
        <f t="shared" si="17"/>
        <v>7.2914892443084094</v>
      </c>
      <c r="AA8" s="3">
        <f t="shared" si="18"/>
        <v>8816.4441682726356</v>
      </c>
      <c r="AB8" s="3"/>
      <c r="AC8" s="3"/>
      <c r="AD8" s="15"/>
    </row>
    <row r="9" spans="1:30">
      <c r="A9" s="7">
        <f t="shared" si="3"/>
        <v>490</v>
      </c>
      <c r="B9" s="3">
        <f t="shared" si="3"/>
        <v>-52.722700000000003</v>
      </c>
      <c r="D9" s="1">
        <f t="shared" si="19"/>
        <v>7</v>
      </c>
      <c r="E9" s="2">
        <f t="shared" si="20"/>
        <v>10</v>
      </c>
      <c r="F9" s="2">
        <f t="shared" si="20"/>
        <v>12.690759999999999</v>
      </c>
      <c r="G9" s="2">
        <f t="shared" si="4"/>
        <v>8.9737224544109893</v>
      </c>
      <c r="H9" s="20">
        <f t="shared" si="0"/>
        <v>22.804878048780488</v>
      </c>
      <c r="I9" s="2">
        <f t="shared" si="21"/>
        <v>310</v>
      </c>
      <c r="J9" s="20">
        <f t="shared" si="5"/>
        <v>75.527578048780498</v>
      </c>
      <c r="K9" s="2">
        <f t="shared" si="21"/>
        <v>310</v>
      </c>
      <c r="L9" s="2">
        <f t="shared" si="6"/>
        <v>319.06804140483052</v>
      </c>
      <c r="M9" s="2">
        <f t="shared" si="7"/>
        <v>0.24363734854445321</v>
      </c>
      <c r="N9" s="2">
        <f t="shared" si="8"/>
        <v>13.692624374883975</v>
      </c>
      <c r="P9" s="4">
        <f t="shared" si="9"/>
        <v>1.0990345154645518</v>
      </c>
      <c r="Q9" s="4">
        <f t="shared" si="10"/>
        <v>1.9880158246181574</v>
      </c>
      <c r="R9" s="4">
        <f t="shared" si="11"/>
        <v>6.2306955465206921E-3</v>
      </c>
      <c r="S9" s="4">
        <f t="shared" si="1"/>
        <v>0.74890051638954547</v>
      </c>
      <c r="T9" s="2">
        <f t="shared" si="2"/>
        <v>307.68081607812337</v>
      </c>
      <c r="U9" s="6">
        <f t="shared" si="12"/>
        <v>0.77661722306016789</v>
      </c>
      <c r="V9" s="4">
        <f t="shared" si="13"/>
        <v>0.70663588097767693</v>
      </c>
      <c r="W9" s="4">
        <f t="shared" si="14"/>
        <v>0.96668656734989367</v>
      </c>
      <c r="X9" s="3">
        <f t="shared" si="15"/>
        <v>26.972462868704941</v>
      </c>
      <c r="Y9" s="8">
        <f t="shared" si="16"/>
        <v>26.205894681534669</v>
      </c>
      <c r="Z9" s="3">
        <f t="shared" si="17"/>
        <v>6.384734696444295</v>
      </c>
      <c r="AA9" s="3">
        <f t="shared" si="18"/>
        <v>8606.0508993822023</v>
      </c>
      <c r="AB9" s="3"/>
      <c r="AC9" s="3"/>
      <c r="AD9" s="15"/>
    </row>
    <row r="10" spans="1:30">
      <c r="A10" s="7">
        <f t="shared" si="3"/>
        <v>490</v>
      </c>
      <c r="B10" s="3">
        <f t="shared" si="3"/>
        <v>-52.722700000000003</v>
      </c>
      <c r="D10" s="1">
        <f t="shared" si="19"/>
        <v>8</v>
      </c>
      <c r="E10" s="2">
        <f t="shared" si="20"/>
        <v>10</v>
      </c>
      <c r="F10" s="2">
        <f t="shared" si="20"/>
        <v>12.690759999999999</v>
      </c>
      <c r="G10" s="2">
        <f t="shared" si="4"/>
        <v>8.9737224544109893</v>
      </c>
      <c r="H10" s="20">
        <f t="shared" si="0"/>
        <v>12.804878048780489</v>
      </c>
      <c r="I10" s="2">
        <f t="shared" si="21"/>
        <v>310</v>
      </c>
      <c r="J10" s="20">
        <f t="shared" si="5"/>
        <v>65.527578048780498</v>
      </c>
      <c r="K10" s="2">
        <f t="shared" si="21"/>
        <v>310</v>
      </c>
      <c r="L10" s="2">
        <f t="shared" si="6"/>
        <v>316.84990687222717</v>
      </c>
      <c r="M10" s="2">
        <f t="shared" si="7"/>
        <v>0.21137928402832418</v>
      </c>
      <c r="N10" s="2">
        <f t="shared" si="8"/>
        <v>11.935447342722016</v>
      </c>
      <c r="P10" s="4">
        <f t="shared" si="9"/>
        <v>1.141603323667139</v>
      </c>
      <c r="Q10" s="4">
        <f t="shared" si="10"/>
        <v>2.1125365739741837</v>
      </c>
      <c r="R10" s="4">
        <f t="shared" si="11"/>
        <v>6.6673100674954112E-3</v>
      </c>
      <c r="S10" s="4">
        <f t="shared" si="1"/>
        <v>0.74890051638954547</v>
      </c>
      <c r="T10" s="2">
        <f t="shared" si="2"/>
        <v>307.68081607812337</v>
      </c>
      <c r="U10" s="6">
        <f t="shared" si="12"/>
        <v>0.77121824460560506</v>
      </c>
      <c r="V10" s="4">
        <f t="shared" si="13"/>
        <v>0.67555711219221337</v>
      </c>
      <c r="W10" s="4">
        <f t="shared" si="14"/>
        <v>0.9600132650704023</v>
      </c>
      <c r="X10" s="3">
        <f t="shared" si="15"/>
        <v>26.518815047227164</v>
      </c>
      <c r="Y10" s="8">
        <f t="shared" si="16"/>
        <v>25.945510749212726</v>
      </c>
      <c r="Z10" s="3">
        <f t="shared" si="17"/>
        <v>5.4843434859177753</v>
      </c>
      <c r="AA10" s="3">
        <f t="shared" si="18"/>
        <v>8402.484078075744</v>
      </c>
      <c r="AB10" s="3"/>
      <c r="AC10" s="3"/>
      <c r="AD10" s="15"/>
    </row>
    <row r="11" spans="1:30">
      <c r="A11" s="7">
        <f t="shared" si="3"/>
        <v>490</v>
      </c>
      <c r="B11" s="3">
        <f t="shared" si="3"/>
        <v>-52.722700000000003</v>
      </c>
      <c r="D11" s="1">
        <f t="shared" si="19"/>
        <v>9</v>
      </c>
      <c r="E11" s="2">
        <f t="shared" si="20"/>
        <v>10</v>
      </c>
      <c r="F11" s="2">
        <f t="shared" si="20"/>
        <v>12.690759999999999</v>
      </c>
      <c r="G11" s="2">
        <f t="shared" si="4"/>
        <v>8.9737224544109893</v>
      </c>
      <c r="H11" s="20">
        <f t="shared" si="0"/>
        <v>2.8048780487804894</v>
      </c>
      <c r="I11" s="2">
        <f t="shared" si="21"/>
        <v>310</v>
      </c>
      <c r="J11" s="20">
        <f t="shared" si="5"/>
        <v>55.527578048780491</v>
      </c>
      <c r="K11" s="2">
        <f t="shared" si="21"/>
        <v>310</v>
      </c>
      <c r="L11" s="2">
        <f t="shared" si="6"/>
        <v>314.93382149899907</v>
      </c>
      <c r="M11" s="2">
        <f t="shared" si="7"/>
        <v>0.17912121951219515</v>
      </c>
      <c r="N11" s="2">
        <f t="shared" si="8"/>
        <v>10.155196003222496</v>
      </c>
      <c r="P11" s="4">
        <f t="shared" si="9"/>
        <v>1.1926419687381915</v>
      </c>
      <c r="Q11" s="4">
        <f t="shared" si="10"/>
        <v>2.1574292000000002</v>
      </c>
      <c r="R11" s="4">
        <f t="shared" si="11"/>
        <v>6.8504207954903848E-3</v>
      </c>
      <c r="S11" s="4">
        <f t="shared" si="1"/>
        <v>0.74890051638954547</v>
      </c>
      <c r="T11" s="2">
        <f t="shared" si="2"/>
        <v>307.68081607812337</v>
      </c>
      <c r="U11" s="6">
        <f t="shared" si="12"/>
        <v>0.76655445911599351</v>
      </c>
      <c r="V11" s="4">
        <f t="shared" si="13"/>
        <v>0.64273644497602567</v>
      </c>
      <c r="W11" s="4">
        <f t="shared" si="14"/>
        <v>0.95221209950323227</v>
      </c>
      <c r="X11" s="3">
        <f t="shared" si="15"/>
        <v>26.051914230993773</v>
      </c>
      <c r="Y11" s="8">
        <f t="shared" si="16"/>
        <v>25.643779296768027</v>
      </c>
      <c r="Z11" s="3">
        <f t="shared" si="17"/>
        <v>4.5933450205386714</v>
      </c>
      <c r="AA11" s="3">
        <f t="shared" si="18"/>
        <v>8204.6289061310272</v>
      </c>
      <c r="AB11" s="3"/>
      <c r="AC11" s="3"/>
      <c r="AD11" s="15"/>
    </row>
    <row r="12" spans="1:30">
      <c r="A12" s="7">
        <f t="shared" si="3"/>
        <v>490</v>
      </c>
      <c r="B12" s="3">
        <f t="shared" si="3"/>
        <v>-52.722700000000003</v>
      </c>
      <c r="D12" s="1">
        <f t="shared" si="19"/>
        <v>10</v>
      </c>
      <c r="E12" s="2">
        <f t="shared" si="20"/>
        <v>10</v>
      </c>
      <c r="F12" s="2">
        <f t="shared" si="20"/>
        <v>12.690759999999999</v>
      </c>
      <c r="G12" s="2">
        <f t="shared" si="4"/>
        <v>8.9737224544109893</v>
      </c>
      <c r="H12" s="20">
        <f t="shared" si="0"/>
        <v>-7.1951219512195106</v>
      </c>
      <c r="I12" s="2">
        <f t="shared" si="21"/>
        <v>310</v>
      </c>
      <c r="J12" s="20">
        <f t="shared" si="5"/>
        <v>45.527578048780491</v>
      </c>
      <c r="K12" s="2">
        <f t="shared" si="21"/>
        <v>310</v>
      </c>
      <c r="L12" s="2">
        <f t="shared" si="6"/>
        <v>313.325326718074</v>
      </c>
      <c r="M12" s="2">
        <f t="shared" si="7"/>
        <v>0.14686315499606609</v>
      </c>
      <c r="N12" s="2">
        <f t="shared" si="8"/>
        <v>8.354912153601969</v>
      </c>
      <c r="P12" s="4">
        <f t="shared" si="9"/>
        <v>1.2554142765703435</v>
      </c>
      <c r="Q12" s="4">
        <f t="shared" si="10"/>
        <v>2.1574292000000002</v>
      </c>
      <c r="R12" s="4">
        <f t="shared" si="11"/>
        <v>6.8855882880518833E-3</v>
      </c>
      <c r="S12" s="4">
        <f t="shared" si="1"/>
        <v>0.74890051638954547</v>
      </c>
      <c r="T12" s="2">
        <f t="shared" si="2"/>
        <v>307.68081607812337</v>
      </c>
      <c r="U12" s="6">
        <f t="shared" si="12"/>
        <v>0.76263935453651654</v>
      </c>
      <c r="V12" s="4">
        <f t="shared" si="13"/>
        <v>0.60748023084456637</v>
      </c>
      <c r="W12" s="4">
        <f t="shared" si="14"/>
        <v>0.94291982844650679</v>
      </c>
      <c r="X12" s="3">
        <f t="shared" si="15"/>
        <v>25.565755484003372</v>
      </c>
      <c r="Y12" s="8">
        <f t="shared" si="16"/>
        <v>25.294425710986978</v>
      </c>
      <c r="Z12" s="3">
        <f t="shared" si="17"/>
        <v>3.7148191637291599</v>
      </c>
      <c r="AA12" s="3">
        <f t="shared" si="18"/>
        <v>8010.3986898197481</v>
      </c>
      <c r="AB12" s="3"/>
      <c r="AC12" s="3"/>
      <c r="AD12" s="15"/>
    </row>
    <row r="13" spans="1:30">
      <c r="A13" s="7"/>
      <c r="B13" s="3"/>
      <c r="D13" s="1"/>
      <c r="E13" s="2"/>
      <c r="F13" s="2"/>
      <c r="G13" s="2"/>
      <c r="H13" s="20"/>
      <c r="I13" s="2"/>
      <c r="J13" s="20"/>
      <c r="K13" s="2"/>
      <c r="L13" s="2"/>
      <c r="M13" s="2"/>
      <c r="N13" s="2"/>
      <c r="P13" s="4"/>
      <c r="Q13" s="4"/>
      <c r="R13" s="4"/>
      <c r="S13" s="4"/>
      <c r="T13" s="2"/>
      <c r="U13" s="6"/>
      <c r="V13" s="4"/>
      <c r="W13" s="4"/>
      <c r="X13" s="3"/>
      <c r="Y13" s="8"/>
      <c r="Z13" s="3"/>
      <c r="AA13" s="3"/>
      <c r="AB13" s="3"/>
      <c r="AC13" s="3"/>
      <c r="AD13" s="15"/>
    </row>
    <row r="14" spans="1:30">
      <c r="A14" s="7"/>
      <c r="B14" s="3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P14" s="4"/>
      <c r="Q14" s="4"/>
      <c r="R14" s="4"/>
      <c r="S14" s="4"/>
      <c r="T14" s="2"/>
      <c r="U14" s="6"/>
      <c r="V14" s="4"/>
      <c r="W14" s="4"/>
      <c r="X14" s="3"/>
      <c r="Y14" s="8"/>
      <c r="Z14" s="3"/>
      <c r="AA14" s="3"/>
      <c r="AB14" s="3"/>
      <c r="AC14" s="3"/>
      <c r="AD14" s="15"/>
    </row>
    <row r="15" spans="1:30" ht="22.5" customHeight="1">
      <c r="A15" s="11" t="s">
        <v>28</v>
      </c>
      <c r="B15" s="11" t="s">
        <v>37</v>
      </c>
      <c r="C15" s="12"/>
      <c r="D15" s="13" t="s">
        <v>1</v>
      </c>
      <c r="E15" s="11" t="s">
        <v>21</v>
      </c>
      <c r="F15" s="13" t="s">
        <v>2</v>
      </c>
      <c r="G15" s="13" t="s">
        <v>3</v>
      </c>
      <c r="H15" s="13" t="s">
        <v>38</v>
      </c>
      <c r="I15" s="13" t="s">
        <v>39</v>
      </c>
      <c r="J15" s="11" t="s">
        <v>42</v>
      </c>
      <c r="K15" s="11" t="s">
        <v>43</v>
      </c>
      <c r="L15" s="11" t="s">
        <v>165</v>
      </c>
      <c r="M15" s="13" t="s">
        <v>19</v>
      </c>
      <c r="N15" s="13" t="s">
        <v>20</v>
      </c>
      <c r="O15" s="12"/>
      <c r="P15" s="14" t="s">
        <v>6</v>
      </c>
      <c r="Q15" s="14" t="s">
        <v>7</v>
      </c>
      <c r="R15" s="14" t="s">
        <v>8</v>
      </c>
      <c r="S15" s="14" t="s">
        <v>22</v>
      </c>
      <c r="T15" s="14" t="s">
        <v>23</v>
      </c>
      <c r="U15" s="14" t="s">
        <v>9</v>
      </c>
      <c r="V15" s="14" t="s">
        <v>10</v>
      </c>
      <c r="W15" s="14" t="s">
        <v>12</v>
      </c>
      <c r="X15" s="14" t="s">
        <v>13</v>
      </c>
      <c r="Y15" s="14" t="s">
        <v>14</v>
      </c>
      <c r="Z15" s="14" t="s">
        <v>15</v>
      </c>
      <c r="AA15" s="14" t="s">
        <v>16</v>
      </c>
      <c r="AB15" s="14" t="s">
        <v>41</v>
      </c>
      <c r="AC15" s="14" t="s">
        <v>29</v>
      </c>
      <c r="AD15" s="14" t="s">
        <v>27</v>
      </c>
    </row>
    <row r="16" spans="1:30" ht="22.5" customHeight="1">
      <c r="A16" s="11" t="s">
        <v>24</v>
      </c>
      <c r="B16" s="11" t="s">
        <v>4</v>
      </c>
      <c r="C16" s="12"/>
      <c r="D16" s="13" t="s">
        <v>0</v>
      </c>
      <c r="E16" s="13" t="s">
        <v>4</v>
      </c>
      <c r="F16" s="13" t="s">
        <v>4</v>
      </c>
      <c r="G16" s="13" t="s">
        <v>4</v>
      </c>
      <c r="H16" s="13" t="s">
        <v>4</v>
      </c>
      <c r="I16" s="13" t="s">
        <v>4</v>
      </c>
      <c r="J16" s="13" t="s">
        <v>4</v>
      </c>
      <c r="K16" s="13" t="s">
        <v>4</v>
      </c>
      <c r="L16" s="13" t="s">
        <v>4</v>
      </c>
      <c r="M16" s="13" t="s">
        <v>45</v>
      </c>
      <c r="N16" s="13" t="s">
        <v>5</v>
      </c>
      <c r="O16" s="12"/>
      <c r="P16" s="13" t="s">
        <v>4</v>
      </c>
      <c r="Q16" s="13" t="s">
        <v>4</v>
      </c>
      <c r="R16" s="13"/>
      <c r="S16" s="13" t="s">
        <v>4</v>
      </c>
      <c r="T16" s="13" t="s">
        <v>4</v>
      </c>
      <c r="U16" s="13" t="s">
        <v>4</v>
      </c>
      <c r="V16" s="14" t="s">
        <v>11</v>
      </c>
      <c r="W16" s="13"/>
      <c r="X16" s="13" t="s">
        <v>18</v>
      </c>
      <c r="Y16" s="13" t="s">
        <v>18</v>
      </c>
      <c r="Z16" s="13" t="s">
        <v>18</v>
      </c>
      <c r="AA16" s="13" t="s">
        <v>17</v>
      </c>
      <c r="AB16" s="14" t="s">
        <v>4</v>
      </c>
      <c r="AC16" s="14" t="s">
        <v>18</v>
      </c>
      <c r="AD16" s="13" t="s">
        <v>17</v>
      </c>
    </row>
    <row r="17" spans="1:30">
      <c r="A17" s="7">
        <f>A3</f>
        <v>490</v>
      </c>
      <c r="B17" s="3">
        <f>B3</f>
        <v>-52.722700000000003</v>
      </c>
      <c r="D17" s="1">
        <f>MAX(D3:D14)+1</f>
        <v>11</v>
      </c>
      <c r="E17" s="2">
        <f>E3</f>
        <v>10</v>
      </c>
      <c r="F17" s="2">
        <f>F3</f>
        <v>12.690759999999999</v>
      </c>
      <c r="G17" s="2">
        <f t="shared" si="4"/>
        <v>8.9737224544109893</v>
      </c>
      <c r="H17" s="2">
        <f>-$AB$3</f>
        <v>-12.195121951219511</v>
      </c>
      <c r="I17" s="2">
        <f t="shared" ref="I17:I47" si="22">E17*(MAX($D$17:$D$59)-D17+0.5)</f>
        <v>305</v>
      </c>
      <c r="J17" s="20">
        <f t="shared" ref="J17:J38" si="23">H17-B17</f>
        <v>40.527578048780491</v>
      </c>
      <c r="K17" s="2">
        <f>I17</f>
        <v>305</v>
      </c>
      <c r="L17" s="2">
        <f t="shared" ref="L17:L38" si="24">SQRT(J17^2+K17^2)</f>
        <v>307.68081607812337</v>
      </c>
      <c r="M17" s="2">
        <f>IF(J17=0,"infinity",ABS(K17/J17))</f>
        <v>7.5257396243340953</v>
      </c>
      <c r="N17" s="2">
        <f>IF(J17=0,90,ATAN(M17)*180/PI())</f>
        <v>82.431030264933028</v>
      </c>
      <c r="P17" s="4">
        <f>0.209 * (ABS(N17)+2)^-0.32 * F17</f>
        <v>0.64143587907971022</v>
      </c>
      <c r="Q17" s="4">
        <f t="shared" si="10"/>
        <v>0.74890051638954547</v>
      </c>
      <c r="R17" s="4">
        <f t="shared" si="11"/>
        <v>2.4340175833367258E-3</v>
      </c>
      <c r="S17" s="4">
        <f t="shared" ref="S17:S47" si="25">INDEX($Q$3:$Q$59, MATCH(MIN($R$3:$R$59),$R$3:$R$59,0))</f>
        <v>0.74890051638954547</v>
      </c>
      <c r="T17" s="2">
        <f t="shared" ref="T17:T47" si="26">INDEX($L$3:$L$59, MATCH(MIN($R$3:$R$59),$R$3:$R$59,0))</f>
        <v>307.68081607812337</v>
      </c>
      <c r="U17" s="6">
        <f t="shared" si="12"/>
        <v>0.74890051638954547</v>
      </c>
      <c r="V17" s="4">
        <f t="shared" si="13"/>
        <v>1.1675376149273384</v>
      </c>
      <c r="W17" s="4">
        <f t="shared" si="14"/>
        <v>0.99743990053325227</v>
      </c>
      <c r="X17" s="3">
        <f t="shared" si="15"/>
        <v>39.301214650804809</v>
      </c>
      <c r="Y17" s="8">
        <f>X17*SIN(N17*PI()/180)</f>
        <v>38.958784045385116</v>
      </c>
      <c r="Z17" s="3">
        <f>X17*COS(N17*PI()/180)</f>
        <v>5.1767382330653469</v>
      </c>
      <c r="AA17" s="3">
        <f t="shared" si="18"/>
        <v>12092.229796621123</v>
      </c>
      <c r="AB17" s="3">
        <f>AD17/AC18+MAX($D$3:$D$14)*E3-AB3</f>
        <v>641.09870405825791</v>
      </c>
      <c r="AC17" s="3">
        <f>stiffener_C_shaped_weld!H87</f>
        <v>796.37480674943788</v>
      </c>
      <c r="AD17" s="3">
        <f>stiffener_C_shaped_weld!H85*1000/2</f>
        <v>164584.12672821715</v>
      </c>
    </row>
    <row r="18" spans="1:30">
      <c r="A18" s="7">
        <f t="shared" si="3"/>
        <v>490</v>
      </c>
      <c r="B18" s="3">
        <f t="shared" si="3"/>
        <v>-52.722700000000003</v>
      </c>
      <c r="D18" s="1">
        <f>D17+1</f>
        <v>12</v>
      </c>
      <c r="E18" s="2">
        <f t="shared" si="20"/>
        <v>10</v>
      </c>
      <c r="F18" s="2">
        <f t="shared" si="20"/>
        <v>12.690759999999999</v>
      </c>
      <c r="G18" s="2">
        <f t="shared" si="4"/>
        <v>8.9737224544109893</v>
      </c>
      <c r="H18" s="2">
        <f t="shared" ref="H18:H47" si="27">-$AB$3</f>
        <v>-12.195121951219511</v>
      </c>
      <c r="I18" s="2">
        <f t="shared" si="22"/>
        <v>295</v>
      </c>
      <c r="J18" s="20">
        <f t="shared" si="23"/>
        <v>40.527578048780491</v>
      </c>
      <c r="K18" s="2">
        <f t="shared" ref="K18:K38" si="28">I18</f>
        <v>295</v>
      </c>
      <c r="L18" s="2">
        <f t="shared" si="24"/>
        <v>297.77085918957886</v>
      </c>
      <c r="M18" s="2">
        <f t="shared" ref="M18:M38" si="29">IF(J18=0,"infinity",ABS(K18/J18))</f>
        <v>7.2789940628805176</v>
      </c>
      <c r="N18" s="2">
        <f t="shared" ref="N18:N38" si="30">IF(J18=0,90,ATAN(M18)*180/PI())</f>
        <v>82.177580386791476</v>
      </c>
      <c r="P18" s="4">
        <f t="shared" si="9"/>
        <v>0.64205326228003834</v>
      </c>
      <c r="Q18" s="4">
        <f t="shared" si="10"/>
        <v>0.75029898644348092</v>
      </c>
      <c r="R18" s="4">
        <f t="shared" si="11"/>
        <v>2.5197193186919458E-3</v>
      </c>
      <c r="S18" s="4">
        <f t="shared" si="25"/>
        <v>0.74890051638954547</v>
      </c>
      <c r="T18" s="2">
        <f t="shared" si="26"/>
        <v>307.68081607812337</v>
      </c>
      <c r="U18" s="6">
        <f t="shared" si="12"/>
        <v>0.72477950707271921</v>
      </c>
      <c r="V18" s="4">
        <f t="shared" si="13"/>
        <v>1.1288463896264713</v>
      </c>
      <c r="W18" s="4">
        <f t="shared" si="14"/>
        <v>0.99938257118376095</v>
      </c>
      <c r="X18" s="3">
        <f t="shared" si="15"/>
        <v>39.366098938306926</v>
      </c>
      <c r="Y18" s="8">
        <f t="shared" ref="Y18:Y38" si="31">X18*SIN(N18*PI()/180)</f>
        <v>38.999783989631467</v>
      </c>
      <c r="Z18" s="3">
        <f t="shared" ref="Z18:Z38" si="32">X18*COS(N18*PI()/180)</f>
        <v>5.3578535238148106</v>
      </c>
      <c r="AA18" s="3">
        <f t="shared" si="18"/>
        <v>11722.077103801621</v>
      </c>
      <c r="AB18" s="3"/>
      <c r="AC18" s="17">
        <f>stiffener_C_shaped_weld!H86</f>
        <v>297.46243133643418</v>
      </c>
      <c r="AD18" s="3"/>
    </row>
    <row r="19" spans="1:30">
      <c r="A19" s="7">
        <f t="shared" si="3"/>
        <v>490</v>
      </c>
      <c r="B19" s="3">
        <f t="shared" si="3"/>
        <v>-52.722700000000003</v>
      </c>
      <c r="D19" s="1">
        <f t="shared" ref="D19:D47" si="33">D18+1</f>
        <v>13</v>
      </c>
      <c r="E19" s="2">
        <f t="shared" si="20"/>
        <v>10</v>
      </c>
      <c r="F19" s="2">
        <f t="shared" si="20"/>
        <v>12.690759999999999</v>
      </c>
      <c r="G19" s="2">
        <f t="shared" si="4"/>
        <v>8.9737224544109893</v>
      </c>
      <c r="H19" s="2">
        <f t="shared" si="27"/>
        <v>-12.195121951219511</v>
      </c>
      <c r="I19" s="2">
        <f t="shared" si="22"/>
        <v>285</v>
      </c>
      <c r="J19" s="20">
        <f t="shared" si="23"/>
        <v>40.527578048780491</v>
      </c>
      <c r="K19" s="2">
        <f t="shared" si="28"/>
        <v>285</v>
      </c>
      <c r="L19" s="2">
        <f t="shared" si="24"/>
        <v>287.86713008348141</v>
      </c>
      <c r="M19" s="2">
        <f t="shared" si="29"/>
        <v>7.0322485014269409</v>
      </c>
      <c r="N19" s="2">
        <f t="shared" si="30"/>
        <v>81.906685611367337</v>
      </c>
      <c r="P19" s="4">
        <f t="shared" si="9"/>
        <v>0.64271585852887392</v>
      </c>
      <c r="Q19" s="4">
        <f t="shared" si="10"/>
        <v>0.75180106447059725</v>
      </c>
      <c r="R19" s="4">
        <f t="shared" si="11"/>
        <v>2.6116252461772034E-3</v>
      </c>
      <c r="S19" s="4">
        <f t="shared" si="25"/>
        <v>0.74890051638954547</v>
      </c>
      <c r="T19" s="2">
        <f t="shared" si="26"/>
        <v>307.68081607812337</v>
      </c>
      <c r="U19" s="6">
        <f t="shared" si="12"/>
        <v>0.70067365628787437</v>
      </c>
      <c r="V19" s="4">
        <f t="shared" si="13"/>
        <v>1.0901763928645876</v>
      </c>
      <c r="W19" s="4">
        <f t="shared" si="14"/>
        <v>1.0005094078774901</v>
      </c>
      <c r="X19" s="3">
        <f t="shared" si="15"/>
        <v>39.397589509524266</v>
      </c>
      <c r="Y19" s="8">
        <f t="shared" si="31"/>
        <v>39.005193149208139</v>
      </c>
      <c r="Z19" s="3">
        <f t="shared" si="32"/>
        <v>5.5466175777624267</v>
      </c>
      <c r="AA19" s="3">
        <f t="shared" si="18"/>
        <v>11341.271024313824</v>
      </c>
      <c r="AB19" s="14" t="s">
        <v>36</v>
      </c>
      <c r="AC19" s="3"/>
      <c r="AD19" s="3"/>
    </row>
    <row r="20" spans="1:30">
      <c r="A20" s="7">
        <f t="shared" ref="A20:B35" si="34">A19</f>
        <v>490</v>
      </c>
      <c r="B20" s="3">
        <f t="shared" si="34"/>
        <v>-52.722700000000003</v>
      </c>
      <c r="D20" s="1">
        <f t="shared" si="33"/>
        <v>14</v>
      </c>
      <c r="E20" s="2">
        <f t="shared" si="20"/>
        <v>10</v>
      </c>
      <c r="F20" s="2">
        <f t="shared" si="20"/>
        <v>12.690759999999999</v>
      </c>
      <c r="G20" s="2">
        <f t="shared" si="4"/>
        <v>8.9737224544109893</v>
      </c>
      <c r="H20" s="2">
        <f t="shared" si="27"/>
        <v>-12.195121951219511</v>
      </c>
      <c r="I20" s="2">
        <f t="shared" si="22"/>
        <v>275</v>
      </c>
      <c r="J20" s="20">
        <f t="shared" si="23"/>
        <v>40.527578048780491</v>
      </c>
      <c r="K20" s="2">
        <f t="shared" si="28"/>
        <v>275</v>
      </c>
      <c r="L20" s="2">
        <f t="shared" si="24"/>
        <v>277.97029442460212</v>
      </c>
      <c r="M20" s="2">
        <f t="shared" si="29"/>
        <v>6.7855029399733642</v>
      </c>
      <c r="N20" s="2">
        <f t="shared" si="30"/>
        <v>81.616494119735336</v>
      </c>
      <c r="P20" s="4">
        <f t="shared" si="9"/>
        <v>0.64342879355453941</v>
      </c>
      <c r="Q20" s="4">
        <f t="shared" si="10"/>
        <v>0.75341863667689568</v>
      </c>
      <c r="R20" s="4">
        <f t="shared" si="11"/>
        <v>2.7104286025831305E-3</v>
      </c>
      <c r="S20" s="4">
        <f t="shared" si="25"/>
        <v>0.74890051638954547</v>
      </c>
      <c r="T20" s="2">
        <f t="shared" si="26"/>
        <v>307.68081607812337</v>
      </c>
      <c r="U20" s="6">
        <f t="shared" si="12"/>
        <v>0.6765845842747682</v>
      </c>
      <c r="V20" s="4">
        <f t="shared" si="13"/>
        <v>1.0515298523354293</v>
      </c>
      <c r="W20" s="4">
        <f t="shared" si="14"/>
        <v>1.0008281571897495</v>
      </c>
      <c r="X20" s="3">
        <f t="shared" si="15"/>
        <v>39.395843166912442</v>
      </c>
      <c r="Y20" s="8">
        <f t="shared" si="31"/>
        <v>38.974872812675834</v>
      </c>
      <c r="Z20" s="3">
        <f t="shared" si="32"/>
        <v>5.7438443631164002</v>
      </c>
      <c r="AA20" s="3">
        <f t="shared" si="18"/>
        <v>10950.874124212101</v>
      </c>
      <c r="AB20" s="14" t="s">
        <v>4</v>
      </c>
      <c r="AC20" s="3"/>
      <c r="AD20" s="3"/>
    </row>
    <row r="21" spans="1:30">
      <c r="A21" s="7">
        <f t="shared" si="34"/>
        <v>490</v>
      </c>
      <c r="B21" s="3">
        <f t="shared" si="34"/>
        <v>-52.722700000000003</v>
      </c>
      <c r="D21" s="1">
        <f t="shared" si="33"/>
        <v>15</v>
      </c>
      <c r="E21" s="2">
        <f t="shared" ref="E21:F36" si="35">E20</f>
        <v>10</v>
      </c>
      <c r="F21" s="2">
        <f t="shared" si="35"/>
        <v>12.690759999999999</v>
      </c>
      <c r="G21" s="2">
        <f t="shared" si="4"/>
        <v>8.9737224544109893</v>
      </c>
      <c r="H21" s="2">
        <f t="shared" si="27"/>
        <v>-12.195121951219511</v>
      </c>
      <c r="I21" s="2">
        <f t="shared" si="22"/>
        <v>265</v>
      </c>
      <c r="J21" s="20">
        <f t="shared" si="23"/>
        <v>40.527578048780491</v>
      </c>
      <c r="K21" s="2">
        <f t="shared" si="28"/>
        <v>265</v>
      </c>
      <c r="L21" s="2">
        <f t="shared" si="24"/>
        <v>268.08111567676673</v>
      </c>
      <c r="M21" s="2">
        <f t="shared" si="29"/>
        <v>6.5387573785197874</v>
      </c>
      <c r="N21" s="2">
        <f t="shared" si="30"/>
        <v>81.304884529758866</v>
      </c>
      <c r="P21" s="4">
        <f t="shared" si="9"/>
        <v>0.64419799357298402</v>
      </c>
      <c r="Q21" s="4">
        <f t="shared" si="10"/>
        <v>0.75516546841012078</v>
      </c>
      <c r="R21" s="4">
        <f t="shared" si="11"/>
        <v>2.8169289974182515E-3</v>
      </c>
      <c r="S21" s="4">
        <f t="shared" si="25"/>
        <v>0.74890051638954547</v>
      </c>
      <c r="T21" s="2">
        <f t="shared" si="26"/>
        <v>307.68081607812337</v>
      </c>
      <c r="U21" s="6">
        <f t="shared" si="12"/>
        <v>0.65251414931777707</v>
      </c>
      <c r="V21" s="4">
        <f t="shared" si="13"/>
        <v>1.0129093164333969</v>
      </c>
      <c r="W21" s="4">
        <f t="shared" si="14"/>
        <v>1.0003421472749721</v>
      </c>
      <c r="X21" s="3">
        <f t="shared" si="15"/>
        <v>39.360816266422958</v>
      </c>
      <c r="Y21" s="8">
        <f t="shared" si="31"/>
        <v>38.908433681612188</v>
      </c>
      <c r="Z21" s="3">
        <f t="shared" si="32"/>
        <v>5.9504323878767451</v>
      </c>
      <c r="AA21" s="3">
        <f t="shared" si="18"/>
        <v>10551.891538650894</v>
      </c>
      <c r="AB21" s="3">
        <f>AB17-B3</f>
        <v>693.82140405825794</v>
      </c>
      <c r="AC21" s="3"/>
      <c r="AD21" s="3"/>
    </row>
    <row r="22" spans="1:30" hidden="1">
      <c r="A22" s="7">
        <f t="shared" si="34"/>
        <v>490</v>
      </c>
      <c r="B22" s="3">
        <f t="shared" si="34"/>
        <v>-52.722700000000003</v>
      </c>
      <c r="D22" s="1">
        <f t="shared" si="33"/>
        <v>16</v>
      </c>
      <c r="E22" s="2">
        <f t="shared" si="35"/>
        <v>10</v>
      </c>
      <c r="F22" s="2">
        <f t="shared" si="35"/>
        <v>12.690759999999999</v>
      </c>
      <c r="G22" s="2">
        <f t="shared" si="4"/>
        <v>8.9737224544109893</v>
      </c>
      <c r="H22" s="2">
        <f t="shared" si="27"/>
        <v>-12.195121951219511</v>
      </c>
      <c r="I22" s="2">
        <f t="shared" si="22"/>
        <v>255</v>
      </c>
      <c r="J22" s="20">
        <f t="shared" si="23"/>
        <v>40.527578048780491</v>
      </c>
      <c r="K22" s="2">
        <f t="shared" si="28"/>
        <v>255</v>
      </c>
      <c r="L22" s="2">
        <f t="shared" si="24"/>
        <v>258.20047362950362</v>
      </c>
      <c r="M22" s="2">
        <f t="shared" si="29"/>
        <v>6.2920118170662107</v>
      </c>
      <c r="N22" s="2">
        <f t="shared" si="30"/>
        <v>80.969415441930238</v>
      </c>
      <c r="P22" s="4">
        <f t="shared" si="9"/>
        <v>0.64503034692107175</v>
      </c>
      <c r="Q22" s="4">
        <f t="shared" si="10"/>
        <v>0.75705758843825799</v>
      </c>
      <c r="R22" s="4">
        <f t="shared" si="11"/>
        <v>2.9320534458994571E-3</v>
      </c>
      <c r="S22" s="4">
        <f t="shared" si="25"/>
        <v>0.74890051638954547</v>
      </c>
      <c r="T22" s="2">
        <f t="shared" si="26"/>
        <v>307.68081607812337</v>
      </c>
      <c r="U22" s="6">
        <f t="shared" si="12"/>
        <v>0.62846449284008243</v>
      </c>
      <c r="V22" s="4">
        <f t="shared" si="13"/>
        <v>0.97431771363926789</v>
      </c>
      <c r="W22" s="4">
        <f t="shared" si="14"/>
        <v>0.99905039325318701</v>
      </c>
      <c r="X22" s="3">
        <f t="shared" si="15"/>
        <v>39.292263356412128</v>
      </c>
      <c r="Y22" s="8">
        <f t="shared" si="31"/>
        <v>38.805223766794043</v>
      </c>
      <c r="Z22" s="3">
        <f t="shared" si="32"/>
        <v>6.1673793525848541</v>
      </c>
      <c r="AA22" s="3">
        <f t="shared" si="18"/>
        <v>10145.281008600801</v>
      </c>
      <c r="AB22" s="3"/>
      <c r="AC22" s="3"/>
      <c r="AD22" s="3"/>
    </row>
    <row r="23" spans="1:30" hidden="1">
      <c r="A23" s="7">
        <f t="shared" si="34"/>
        <v>490</v>
      </c>
      <c r="B23" s="3">
        <f t="shared" si="34"/>
        <v>-52.722700000000003</v>
      </c>
      <c r="D23" s="1">
        <f t="shared" si="33"/>
        <v>17</v>
      </c>
      <c r="E23" s="2">
        <f t="shared" si="35"/>
        <v>10</v>
      </c>
      <c r="F23" s="2">
        <f t="shared" si="35"/>
        <v>12.690759999999999</v>
      </c>
      <c r="G23" s="2">
        <f t="shared" si="4"/>
        <v>8.9737224544109893</v>
      </c>
      <c r="H23" s="2">
        <f t="shared" si="27"/>
        <v>-12.195121951219511</v>
      </c>
      <c r="I23" s="2">
        <f t="shared" si="22"/>
        <v>245</v>
      </c>
      <c r="J23" s="20">
        <f t="shared" si="23"/>
        <v>40.527578048780491</v>
      </c>
      <c r="K23" s="2">
        <f t="shared" si="28"/>
        <v>245</v>
      </c>
      <c r="L23" s="2">
        <f t="shared" si="24"/>
        <v>248.32938727122087</v>
      </c>
      <c r="M23" s="2">
        <f t="shared" si="29"/>
        <v>6.045266255612634</v>
      </c>
      <c r="N23" s="2">
        <f t="shared" si="30"/>
        <v>80.607263328882198</v>
      </c>
      <c r="P23" s="4">
        <f t="shared" si="9"/>
        <v>0.64593390624803759</v>
      </c>
      <c r="Q23" s="4">
        <f t="shared" si="10"/>
        <v>0.75911377093700294</v>
      </c>
      <c r="R23" s="4">
        <f t="shared" si="11"/>
        <v>3.056882551350689E-3</v>
      </c>
      <c r="S23" s="4">
        <f t="shared" si="25"/>
        <v>0.74890051638954547</v>
      </c>
      <c r="T23" s="2">
        <f t="shared" si="26"/>
        <v>307.68081607812337</v>
      </c>
      <c r="U23" s="6">
        <f t="shared" si="12"/>
        <v>0.60443809507738699</v>
      </c>
      <c r="V23" s="4">
        <f t="shared" si="13"/>
        <v>0.93575842548399024</v>
      </c>
      <c r="W23" s="4">
        <f t="shared" si="14"/>
        <v>0.99694761302444335</v>
      </c>
      <c r="X23" s="3">
        <f t="shared" si="15"/>
        <v>39.189730844115907</v>
      </c>
      <c r="Y23" s="8">
        <f t="shared" si="31"/>
        <v>38.664308571429082</v>
      </c>
      <c r="Z23" s="3">
        <f t="shared" si="32"/>
        <v>6.3957991156356098</v>
      </c>
      <c r="AA23" s="3">
        <f t="shared" si="18"/>
        <v>9731.9618478433677</v>
      </c>
      <c r="AB23" s="3"/>
      <c r="AC23" s="3"/>
      <c r="AD23" s="3"/>
    </row>
    <row r="24" spans="1:30" hidden="1">
      <c r="A24" s="7">
        <f t="shared" si="34"/>
        <v>490</v>
      </c>
      <c r="B24" s="3">
        <f t="shared" si="34"/>
        <v>-52.722700000000003</v>
      </c>
      <c r="D24" s="1">
        <f t="shared" si="33"/>
        <v>18</v>
      </c>
      <c r="E24" s="2">
        <f t="shared" si="35"/>
        <v>10</v>
      </c>
      <c r="F24" s="2">
        <f t="shared" si="35"/>
        <v>12.690759999999999</v>
      </c>
      <c r="G24" s="2">
        <f t="shared" si="4"/>
        <v>8.9737224544109893</v>
      </c>
      <c r="H24" s="2">
        <f t="shared" si="27"/>
        <v>-12.195121951219511</v>
      </c>
      <c r="I24" s="2">
        <f t="shared" si="22"/>
        <v>235</v>
      </c>
      <c r="J24" s="20">
        <f t="shared" si="23"/>
        <v>40.527578048780491</v>
      </c>
      <c r="K24" s="2">
        <f t="shared" si="28"/>
        <v>235</v>
      </c>
      <c r="L24" s="2">
        <f t="shared" si="24"/>
        <v>238.46904323727219</v>
      </c>
      <c r="M24" s="2">
        <f t="shared" si="29"/>
        <v>5.7985206941590564</v>
      </c>
      <c r="N24" s="2">
        <f t="shared" si="30"/>
        <v>80.215145538050379</v>
      </c>
      <c r="P24" s="4">
        <f t="shared" si="9"/>
        <v>0.64691814357666244</v>
      </c>
      <c r="Q24" s="4">
        <f t="shared" si="10"/>
        <v>0.76135614525954853</v>
      </c>
      <c r="R24" s="4">
        <f t="shared" si="11"/>
        <v>3.1926833559776293E-3</v>
      </c>
      <c r="S24" s="4">
        <f t="shared" si="25"/>
        <v>0.74890051638954547</v>
      </c>
      <c r="T24" s="2">
        <f t="shared" si="26"/>
        <v>307.68081607812337</v>
      </c>
      <c r="U24" s="6">
        <f t="shared" si="12"/>
        <v>0.58043784432100642</v>
      </c>
      <c r="V24" s="4">
        <f t="shared" si="13"/>
        <v>0.89723537681583387</v>
      </c>
      <c r="W24" s="4">
        <f t="shared" si="14"/>
        <v>0.99402415610663719</v>
      </c>
      <c r="X24" s="3">
        <f t="shared" si="15"/>
        <v>39.052545354860442</v>
      </c>
      <c r="Y24" s="8">
        <f t="shared" si="31"/>
        <v>38.484442398927712</v>
      </c>
      <c r="Z24" s="3">
        <f t="shared" si="32"/>
        <v>6.6369414595163487</v>
      </c>
      <c r="AA24" s="3">
        <f t="shared" si="18"/>
        <v>9312.8231267537485</v>
      </c>
      <c r="AB24" s="3"/>
      <c r="AC24" s="3"/>
      <c r="AD24" s="3"/>
    </row>
    <row r="25" spans="1:30" hidden="1">
      <c r="A25" s="7">
        <f t="shared" si="34"/>
        <v>490</v>
      </c>
      <c r="B25" s="3">
        <f t="shared" si="34"/>
        <v>-52.722700000000003</v>
      </c>
      <c r="D25" s="1">
        <f t="shared" si="33"/>
        <v>19</v>
      </c>
      <c r="E25" s="2">
        <f t="shared" si="35"/>
        <v>10</v>
      </c>
      <c r="F25" s="2">
        <f t="shared" si="35"/>
        <v>12.690759999999999</v>
      </c>
      <c r="G25" s="2">
        <f t="shared" si="4"/>
        <v>8.9737224544109893</v>
      </c>
      <c r="H25" s="2">
        <f t="shared" si="27"/>
        <v>-12.195121951219511</v>
      </c>
      <c r="I25" s="2">
        <f t="shared" si="22"/>
        <v>225</v>
      </c>
      <c r="J25" s="20">
        <f t="shared" si="23"/>
        <v>40.527578048780491</v>
      </c>
      <c r="K25" s="2">
        <f t="shared" si="28"/>
        <v>225</v>
      </c>
      <c r="L25" s="2">
        <f t="shared" si="24"/>
        <v>228.62083147101882</v>
      </c>
      <c r="M25" s="2">
        <f t="shared" si="29"/>
        <v>5.5517751327054796</v>
      </c>
      <c r="N25" s="2">
        <f t="shared" si="30"/>
        <v>79.789224125663011</v>
      </c>
      <c r="P25" s="4">
        <f t="shared" si="9"/>
        <v>0.64799427498038042</v>
      </c>
      <c r="Q25" s="4">
        <f t="shared" si="10"/>
        <v>0.76381097455363733</v>
      </c>
      <c r="R25" s="4">
        <f t="shared" si="11"/>
        <v>3.3409509082747871E-3</v>
      </c>
      <c r="S25" s="4">
        <f t="shared" si="25"/>
        <v>0.74890051638954547</v>
      </c>
      <c r="T25" s="2">
        <f t="shared" si="26"/>
        <v>307.68081607812337</v>
      </c>
      <c r="U25" s="6">
        <f t="shared" si="12"/>
        <v>0.55646712371752216</v>
      </c>
      <c r="V25" s="4">
        <f t="shared" si="13"/>
        <v>0.85875314829651939</v>
      </c>
      <c r="W25" s="4">
        <f t="shared" si="14"/>
        <v>0.99026584449295774</v>
      </c>
      <c r="X25" s="3">
        <f t="shared" si="15"/>
        <v>38.879796152044179</v>
      </c>
      <c r="Y25" s="8">
        <f t="shared" si="31"/>
        <v>38.264029038486271</v>
      </c>
      <c r="Z25" s="3">
        <f t="shared" si="32"/>
        <v>6.8922152147469111</v>
      </c>
      <c r="AA25" s="3">
        <f t="shared" si="18"/>
        <v>8888.731323704058</v>
      </c>
      <c r="AB25" s="3"/>
      <c r="AC25" s="3"/>
      <c r="AD25" s="3"/>
    </row>
    <row r="26" spans="1:30" hidden="1">
      <c r="A26" s="7">
        <f t="shared" si="34"/>
        <v>490</v>
      </c>
      <c r="B26" s="3">
        <f t="shared" si="34"/>
        <v>-52.722700000000003</v>
      </c>
      <c r="D26" s="1">
        <f t="shared" si="33"/>
        <v>20</v>
      </c>
      <c r="E26" s="2">
        <f t="shared" si="35"/>
        <v>10</v>
      </c>
      <c r="F26" s="2">
        <f t="shared" si="35"/>
        <v>12.690759999999999</v>
      </c>
      <c r="G26" s="2">
        <f t="shared" si="4"/>
        <v>8.9737224544109893</v>
      </c>
      <c r="H26" s="2">
        <f t="shared" si="27"/>
        <v>-12.195121951219511</v>
      </c>
      <c r="I26" s="2">
        <f t="shared" si="22"/>
        <v>215</v>
      </c>
      <c r="J26" s="20">
        <f t="shared" si="23"/>
        <v>40.527578048780491</v>
      </c>
      <c r="K26" s="2">
        <f t="shared" si="28"/>
        <v>215</v>
      </c>
      <c r="L26" s="2">
        <f t="shared" si="24"/>
        <v>218.78639030456165</v>
      </c>
      <c r="M26" s="2">
        <f t="shared" si="29"/>
        <v>5.3050295712519029</v>
      </c>
      <c r="N26" s="2">
        <f t="shared" si="30"/>
        <v>79.32498479407846</v>
      </c>
      <c r="P26" s="4">
        <f t="shared" si="9"/>
        <v>0.64917567792570963</v>
      </c>
      <c r="Q26" s="4">
        <f t="shared" si="10"/>
        <v>0.76650965998566456</v>
      </c>
      <c r="R26" s="4">
        <f t="shared" si="11"/>
        <v>3.5034613392480427E-3</v>
      </c>
      <c r="S26" s="4">
        <f t="shared" si="25"/>
        <v>0.74890051638954547</v>
      </c>
      <c r="T26" s="2">
        <f t="shared" si="26"/>
        <v>307.68081607812337</v>
      </c>
      <c r="U26" s="6">
        <f t="shared" si="12"/>
        <v>0.53252992099607477</v>
      </c>
      <c r="V26" s="4">
        <f t="shared" si="13"/>
        <v>0.8203171176986338</v>
      </c>
      <c r="W26" s="4">
        <f t="shared" si="14"/>
        <v>0.98565372107051452</v>
      </c>
      <c r="X26" s="3">
        <f t="shared" si="15"/>
        <v>38.670310631965791</v>
      </c>
      <c r="Y26" s="8">
        <f t="shared" si="31"/>
        <v>38.001069327479541</v>
      </c>
      <c r="Z26" s="3">
        <f t="shared" si="32"/>
        <v>7.1632153632862492</v>
      </c>
      <c r="AA26" s="3">
        <f t="shared" si="18"/>
        <v>8460.5376751239073</v>
      </c>
      <c r="AB26" s="3"/>
      <c r="AC26" s="3"/>
      <c r="AD26" s="3"/>
    </row>
    <row r="27" spans="1:30" hidden="1">
      <c r="A27" s="7">
        <f t="shared" si="34"/>
        <v>490</v>
      </c>
      <c r="B27" s="3">
        <f t="shared" si="34"/>
        <v>-52.722700000000003</v>
      </c>
      <c r="D27" s="1">
        <f t="shared" si="33"/>
        <v>21</v>
      </c>
      <c r="E27" s="2">
        <f t="shared" si="35"/>
        <v>10</v>
      </c>
      <c r="F27" s="2">
        <f t="shared" si="35"/>
        <v>12.690759999999999</v>
      </c>
      <c r="G27" s="2">
        <f t="shared" si="4"/>
        <v>8.9737224544109893</v>
      </c>
      <c r="H27" s="2">
        <f t="shared" si="27"/>
        <v>-12.195121951219511</v>
      </c>
      <c r="I27" s="2">
        <f t="shared" si="22"/>
        <v>205</v>
      </c>
      <c r="J27" s="20">
        <f t="shared" si="23"/>
        <v>40.527578048780491</v>
      </c>
      <c r="K27" s="2">
        <f t="shared" si="28"/>
        <v>205</v>
      </c>
      <c r="L27" s="2">
        <f t="shared" si="24"/>
        <v>208.96766396382958</v>
      </c>
      <c r="M27" s="2">
        <f t="shared" si="29"/>
        <v>5.0582840097983262</v>
      </c>
      <c r="N27" s="2">
        <f t="shared" si="30"/>
        <v>78.81708319489023</v>
      </c>
      <c r="P27" s="4">
        <f t="shared" si="9"/>
        <v>0.65047843341200429</v>
      </c>
      <c r="Q27" s="4">
        <f t="shared" si="10"/>
        <v>0.7694900500606453</v>
      </c>
      <c r="R27" s="4">
        <f t="shared" si="11"/>
        <v>3.682340298324037E-3</v>
      </c>
      <c r="S27" s="4">
        <f t="shared" si="25"/>
        <v>0.74890051638954547</v>
      </c>
      <c r="T27" s="2">
        <f t="shared" si="26"/>
        <v>307.68081607812337</v>
      </c>
      <c r="U27" s="6">
        <f t="shared" si="12"/>
        <v>0.50863096843676148</v>
      </c>
      <c r="V27" s="4">
        <f t="shared" si="13"/>
        <v>0.78193363885840239</v>
      </c>
      <c r="W27" s="4">
        <f t="shared" si="14"/>
        <v>0.98016369765263422</v>
      </c>
      <c r="X27" s="3">
        <f t="shared" si="15"/>
        <v>38.422621461308132</v>
      </c>
      <c r="Y27" s="8">
        <f t="shared" si="31"/>
        <v>37.693092080177259</v>
      </c>
      <c r="Z27" s="3">
        <f t="shared" si="32"/>
        <v>7.4517547862402651</v>
      </c>
      <c r="AA27" s="3">
        <f t="shared" si="18"/>
        <v>8029.0854501360645</v>
      </c>
      <c r="AB27" s="3"/>
      <c r="AC27" s="3"/>
      <c r="AD27" s="3"/>
    </row>
    <row r="28" spans="1:30" hidden="1">
      <c r="A28" s="7">
        <f t="shared" si="34"/>
        <v>490</v>
      </c>
      <c r="B28" s="3">
        <f t="shared" si="34"/>
        <v>-52.722700000000003</v>
      </c>
      <c r="D28" s="1">
        <f t="shared" si="33"/>
        <v>22</v>
      </c>
      <c r="E28" s="2">
        <f t="shared" si="35"/>
        <v>10</v>
      </c>
      <c r="F28" s="2">
        <f t="shared" si="35"/>
        <v>12.690759999999999</v>
      </c>
      <c r="G28" s="2">
        <f t="shared" si="4"/>
        <v>8.9737224544109893</v>
      </c>
      <c r="H28" s="2">
        <f t="shared" si="27"/>
        <v>-12.195121951219511</v>
      </c>
      <c r="I28" s="2">
        <f t="shared" si="22"/>
        <v>195</v>
      </c>
      <c r="J28" s="20">
        <f t="shared" si="23"/>
        <v>40.527578048780491</v>
      </c>
      <c r="K28" s="2">
        <f t="shared" si="28"/>
        <v>195</v>
      </c>
      <c r="L28" s="2">
        <f t="shared" si="24"/>
        <v>199.16697663643939</v>
      </c>
      <c r="M28" s="2">
        <f t="shared" si="29"/>
        <v>4.8115384483447494</v>
      </c>
      <c r="N28" s="2">
        <f t="shared" si="30"/>
        <v>78.259148037923651</v>
      </c>
      <c r="P28" s="4">
        <f t="shared" si="9"/>
        <v>0.6519220383230121</v>
      </c>
      <c r="Q28" s="4">
        <f t="shared" si="10"/>
        <v>0.77279816794766221</v>
      </c>
      <c r="R28" s="4">
        <f t="shared" si="11"/>
        <v>3.8801521266165159E-3</v>
      </c>
      <c r="S28" s="4">
        <f t="shared" si="25"/>
        <v>0.74890051638954547</v>
      </c>
      <c r="T28" s="2">
        <f t="shared" si="26"/>
        <v>307.68081607812337</v>
      </c>
      <c r="U28" s="6">
        <f t="shared" si="12"/>
        <v>0.4847759231531083</v>
      </c>
      <c r="V28" s="4">
        <f t="shared" si="13"/>
        <v>0.74361027033252891</v>
      </c>
      <c r="W28" s="4">
        <f t="shared" si="14"/>
        <v>0.97376609102489786</v>
      </c>
      <c r="X28" s="3">
        <f t="shared" si="15"/>
        <v>38.134923338756934</v>
      </c>
      <c r="Y28" s="8">
        <f t="shared" si="31"/>
        <v>37.337063486342359</v>
      </c>
      <c r="Z28" s="3">
        <f t="shared" si="32"/>
        <v>7.7599013054103194</v>
      </c>
      <c r="AA28" s="3">
        <f t="shared" si="18"/>
        <v>7595.2173856426098</v>
      </c>
      <c r="AB28" s="3"/>
      <c r="AC28" s="3"/>
      <c r="AD28" s="3"/>
    </row>
    <row r="29" spans="1:30" hidden="1">
      <c r="A29" s="7">
        <f t="shared" si="34"/>
        <v>490</v>
      </c>
      <c r="B29" s="3">
        <f t="shared" si="34"/>
        <v>-52.722700000000003</v>
      </c>
      <c r="D29" s="1">
        <f t="shared" si="33"/>
        <v>23</v>
      </c>
      <c r="E29" s="2">
        <f t="shared" si="35"/>
        <v>10</v>
      </c>
      <c r="F29" s="2">
        <f t="shared" si="35"/>
        <v>12.690759999999999</v>
      </c>
      <c r="G29" s="2">
        <f t="shared" si="4"/>
        <v>8.9737224544109893</v>
      </c>
      <c r="H29" s="2">
        <f t="shared" si="27"/>
        <v>-12.195121951219511</v>
      </c>
      <c r="I29" s="2">
        <f t="shared" si="22"/>
        <v>185</v>
      </c>
      <c r="J29" s="20">
        <f t="shared" si="23"/>
        <v>40.527578048780491</v>
      </c>
      <c r="K29" s="2">
        <f t="shared" si="28"/>
        <v>185</v>
      </c>
      <c r="L29" s="2">
        <f t="shared" si="24"/>
        <v>189.38712887231802</v>
      </c>
      <c r="M29" s="2">
        <f t="shared" si="29"/>
        <v>4.5647928868911727</v>
      </c>
      <c r="N29" s="2">
        <f t="shared" si="30"/>
        <v>77.643526438846578</v>
      </c>
      <c r="P29" s="4">
        <f t="shared" si="9"/>
        <v>0.65353035314183072</v>
      </c>
      <c r="Q29" s="4">
        <f t="shared" si="10"/>
        <v>0.77649051967973348</v>
      </c>
      <c r="R29" s="4">
        <f t="shared" si="11"/>
        <v>4.1000173787059833E-3</v>
      </c>
      <c r="S29" s="4">
        <f t="shared" si="25"/>
        <v>0.74890051638954547</v>
      </c>
      <c r="T29" s="2">
        <f t="shared" si="26"/>
        <v>307.68081607812337</v>
      </c>
      <c r="U29" s="6">
        <f t="shared" si="12"/>
        <v>0.46097160173288049</v>
      </c>
      <c r="V29" s="4">
        <f t="shared" si="13"/>
        <v>0.70535607032905379</v>
      </c>
      <c r="W29" s="4">
        <f t="shared" si="14"/>
        <v>0.96642503152998294</v>
      </c>
      <c r="X29" s="3">
        <f t="shared" si="15"/>
        <v>37.805016568767201</v>
      </c>
      <c r="Y29" s="8">
        <f t="shared" si="31"/>
        <v>36.929268144389759</v>
      </c>
      <c r="Z29" s="3">
        <f t="shared" si="32"/>
        <v>8.0900205243572945</v>
      </c>
      <c r="AA29" s="3">
        <f t="shared" si="18"/>
        <v>7159.7835449292315</v>
      </c>
      <c r="AB29" s="3"/>
      <c r="AC29" s="3"/>
      <c r="AD29" s="3"/>
    </row>
    <row r="30" spans="1:30" hidden="1">
      <c r="A30" s="7">
        <f t="shared" si="34"/>
        <v>490</v>
      </c>
      <c r="B30" s="3">
        <f t="shared" si="34"/>
        <v>-52.722700000000003</v>
      </c>
      <c r="D30" s="1">
        <f t="shared" si="33"/>
        <v>24</v>
      </c>
      <c r="E30" s="2">
        <f t="shared" si="35"/>
        <v>10</v>
      </c>
      <c r="F30" s="2">
        <f t="shared" si="35"/>
        <v>12.690759999999999</v>
      </c>
      <c r="G30" s="2">
        <f t="shared" si="4"/>
        <v>8.9737224544109893</v>
      </c>
      <c r="H30" s="2">
        <f t="shared" si="27"/>
        <v>-12.195121951219511</v>
      </c>
      <c r="I30" s="2">
        <f t="shared" si="22"/>
        <v>175</v>
      </c>
      <c r="J30" s="20">
        <f t="shared" si="23"/>
        <v>40.527578048780491</v>
      </c>
      <c r="K30" s="2">
        <f t="shared" si="28"/>
        <v>175</v>
      </c>
      <c r="L30" s="2">
        <f t="shared" si="24"/>
        <v>179.63152446744974</v>
      </c>
      <c r="M30" s="2">
        <f t="shared" si="29"/>
        <v>4.3180473254375951</v>
      </c>
      <c r="N30" s="2">
        <f t="shared" si="30"/>
        <v>76.960951183335581</v>
      </c>
      <c r="P30" s="4">
        <f t="shared" si="9"/>
        <v>0.65533288002140289</v>
      </c>
      <c r="Q30" s="4">
        <f t="shared" si="10"/>
        <v>0.78063722212851461</v>
      </c>
      <c r="R30" s="4">
        <f t="shared" si="11"/>
        <v>4.3457696216900425E-3</v>
      </c>
      <c r="S30" s="4">
        <f t="shared" si="25"/>
        <v>0.74890051638954547</v>
      </c>
      <c r="T30" s="2">
        <f t="shared" si="26"/>
        <v>307.68081607812337</v>
      </c>
      <c r="U30" s="6">
        <f t="shared" si="12"/>
        <v>0.43722628907535394</v>
      </c>
      <c r="V30" s="4">
        <f t="shared" si="13"/>
        <v>0.66718198095153458</v>
      </c>
      <c r="W30" s="4">
        <f t="shared" si="14"/>
        <v>0.95809772468377652</v>
      </c>
      <c r="X30" s="3">
        <f t="shared" si="15"/>
        <v>37.430233538443638</v>
      </c>
      <c r="Y30" s="8">
        <f t="shared" si="31"/>
        <v>36.465152142126293</v>
      </c>
      <c r="Z30" s="3">
        <f t="shared" si="32"/>
        <v>8.4448245685753101</v>
      </c>
      <c r="AA30" s="3">
        <f t="shared" si="18"/>
        <v>6723.6499116832956</v>
      </c>
      <c r="AB30" s="3"/>
      <c r="AC30" s="3"/>
      <c r="AD30" s="3"/>
    </row>
    <row r="31" spans="1:30" hidden="1">
      <c r="A31" s="7">
        <f t="shared" si="34"/>
        <v>490</v>
      </c>
      <c r="B31" s="3">
        <f t="shared" si="34"/>
        <v>-52.722700000000003</v>
      </c>
      <c r="D31" s="1">
        <f t="shared" si="33"/>
        <v>25</v>
      </c>
      <c r="E31" s="2">
        <f t="shared" si="35"/>
        <v>10</v>
      </c>
      <c r="F31" s="2">
        <f t="shared" si="35"/>
        <v>12.690759999999999</v>
      </c>
      <c r="G31" s="2">
        <f t="shared" si="4"/>
        <v>8.9737224544109893</v>
      </c>
      <c r="H31" s="2">
        <f t="shared" si="27"/>
        <v>-12.195121951219511</v>
      </c>
      <c r="I31" s="2">
        <f t="shared" si="22"/>
        <v>165</v>
      </c>
      <c r="J31" s="20">
        <f t="shared" si="23"/>
        <v>40.527578048780491</v>
      </c>
      <c r="K31" s="2">
        <f t="shared" si="28"/>
        <v>165</v>
      </c>
      <c r="L31" s="2">
        <f t="shared" si="24"/>
        <v>169.90433950461653</v>
      </c>
      <c r="M31" s="2">
        <f t="shared" si="29"/>
        <v>4.0713017639840183</v>
      </c>
      <c r="N31" s="2">
        <f t="shared" si="30"/>
        <v>76.200101226337139</v>
      </c>
      <c r="P31" s="4">
        <f t="shared" si="9"/>
        <v>0.65736651217581032</v>
      </c>
      <c r="Q31" s="4">
        <f t="shared" si="10"/>
        <v>0.78532630764417566</v>
      </c>
      <c r="R31" s="4">
        <f t="shared" si="11"/>
        <v>4.6221674498363079E-3</v>
      </c>
      <c r="S31" s="4">
        <f t="shared" si="25"/>
        <v>0.74890051638954547</v>
      </c>
      <c r="T31" s="2">
        <f t="shared" si="26"/>
        <v>307.68081607812337</v>
      </c>
      <c r="U31" s="6">
        <f t="shared" si="12"/>
        <v>0.41355014983944932</v>
      </c>
      <c r="V31" s="4">
        <f t="shared" si="13"/>
        <v>0.62910133415625957</v>
      </c>
      <c r="W31" s="4">
        <f t="shared" si="14"/>
        <v>0.94873354243276886</v>
      </c>
      <c r="X31" s="3">
        <f t="shared" si="15"/>
        <v>37.007342647514072</v>
      </c>
      <c r="Y31" s="8">
        <f t="shared" si="31"/>
        <v>35.939114649122359</v>
      </c>
      <c r="Z31" s="3">
        <f t="shared" si="32"/>
        <v>8.8274259027053077</v>
      </c>
      <c r="AA31" s="3">
        <f t="shared" si="18"/>
        <v>6287.7081093469051</v>
      </c>
      <c r="AB31" s="3"/>
      <c r="AC31" s="3"/>
      <c r="AD31" s="3"/>
    </row>
    <row r="32" spans="1:30" hidden="1">
      <c r="A32" s="7">
        <f t="shared" si="34"/>
        <v>490</v>
      </c>
      <c r="B32" s="3">
        <f t="shared" si="34"/>
        <v>-52.722700000000003</v>
      </c>
      <c r="D32" s="1">
        <f t="shared" si="33"/>
        <v>26</v>
      </c>
      <c r="E32" s="2">
        <f t="shared" si="35"/>
        <v>10</v>
      </c>
      <c r="F32" s="2">
        <f t="shared" si="35"/>
        <v>12.690759999999999</v>
      </c>
      <c r="G32" s="2">
        <f t="shared" si="4"/>
        <v>8.9737224544109893</v>
      </c>
      <c r="H32" s="2">
        <f t="shared" si="27"/>
        <v>-12.195121951219511</v>
      </c>
      <c r="I32" s="2">
        <f t="shared" si="22"/>
        <v>155</v>
      </c>
      <c r="J32" s="20">
        <f t="shared" si="23"/>
        <v>40.527578048780491</v>
      </c>
      <c r="K32" s="2">
        <f t="shared" si="28"/>
        <v>155</v>
      </c>
      <c r="L32" s="2">
        <f t="shared" si="24"/>
        <v>160.21075052099343</v>
      </c>
      <c r="M32" s="2">
        <f t="shared" si="29"/>
        <v>3.8245562025304416</v>
      </c>
      <c r="N32" s="2">
        <f t="shared" si="30"/>
        <v>75.347014462923909</v>
      </c>
      <c r="P32" s="4">
        <f t="shared" si="9"/>
        <v>0.65967796785426447</v>
      </c>
      <c r="Q32" s="4">
        <f t="shared" si="10"/>
        <v>0.79066974930312028</v>
      </c>
      <c r="R32" s="4">
        <f t="shared" si="11"/>
        <v>4.9351853526178558E-3</v>
      </c>
      <c r="S32" s="4">
        <f t="shared" si="25"/>
        <v>0.74890051638954547</v>
      </c>
      <c r="T32" s="2">
        <f t="shared" si="26"/>
        <v>307.68081607812337</v>
      </c>
      <c r="U32" s="6">
        <f t="shared" si="12"/>
        <v>0.38995578380767149</v>
      </c>
      <c r="V32" s="4">
        <f t="shared" si="13"/>
        <v>0.59113052551395839</v>
      </c>
      <c r="W32" s="4">
        <f t="shared" si="14"/>
        <v>0.93827291772141908</v>
      </c>
      <c r="X32" s="3">
        <f t="shared" si="15"/>
        <v>36.532422051880992</v>
      </c>
      <c r="Y32" s="8">
        <f t="shared" si="31"/>
        <v>35.34422877133678</v>
      </c>
      <c r="Z32" s="3">
        <f t="shared" si="32"/>
        <v>9.2413934845438899</v>
      </c>
      <c r="AA32" s="3">
        <f t="shared" si="18"/>
        <v>5852.8867552815445</v>
      </c>
      <c r="AB32" s="3"/>
      <c r="AC32" s="3"/>
      <c r="AD32" s="3"/>
    </row>
    <row r="33" spans="1:30" hidden="1">
      <c r="A33" s="7">
        <f t="shared" si="34"/>
        <v>490</v>
      </c>
      <c r="B33" s="3">
        <f t="shared" si="34"/>
        <v>-52.722700000000003</v>
      </c>
      <c r="D33" s="1">
        <f t="shared" si="33"/>
        <v>27</v>
      </c>
      <c r="E33" s="2">
        <f t="shared" si="35"/>
        <v>10</v>
      </c>
      <c r="F33" s="2">
        <f t="shared" si="35"/>
        <v>12.690759999999999</v>
      </c>
      <c r="G33" s="2">
        <f t="shared" si="4"/>
        <v>8.9737224544109893</v>
      </c>
      <c r="H33" s="2">
        <f t="shared" si="27"/>
        <v>-12.195121951219511</v>
      </c>
      <c r="I33" s="2">
        <f t="shared" si="22"/>
        <v>145</v>
      </c>
      <c r="J33" s="20">
        <f t="shared" si="23"/>
        <v>40.527578048780491</v>
      </c>
      <c r="K33" s="2">
        <f t="shared" si="28"/>
        <v>145</v>
      </c>
      <c r="L33" s="2">
        <f t="shared" si="24"/>
        <v>150.55724686145132</v>
      </c>
      <c r="M33" s="2">
        <f t="shared" si="29"/>
        <v>3.5778106410768649</v>
      </c>
      <c r="N33" s="2">
        <f t="shared" si="30"/>
        <v>74.384293563988948</v>
      </c>
      <c r="P33" s="4">
        <f t="shared" si="9"/>
        <v>0.66232723843648866</v>
      </c>
      <c r="Q33" s="4">
        <f t="shared" si="10"/>
        <v>0.79681205427141633</v>
      </c>
      <c r="R33" s="4">
        <f t="shared" si="11"/>
        <v>5.292419135457983E-3</v>
      </c>
      <c r="S33" s="4">
        <f t="shared" si="25"/>
        <v>0.74890051638954547</v>
      </c>
      <c r="T33" s="2">
        <f t="shared" si="26"/>
        <v>307.68081607812337</v>
      </c>
      <c r="U33" s="6">
        <f t="shared" si="12"/>
        <v>0.36645898615954059</v>
      </c>
      <c r="V33" s="4">
        <f t="shared" si="13"/>
        <v>0.55328992210046446</v>
      </c>
      <c r="W33" s="4">
        <f t="shared" si="14"/>
        <v>0.92664601578924877</v>
      </c>
      <c r="X33" s="3">
        <f t="shared" si="15"/>
        <v>36.000692448416089</v>
      </c>
      <c r="Y33" s="8">
        <f t="shared" si="31"/>
        <v>34.671864117069525</v>
      </c>
      <c r="Z33" s="3">
        <f t="shared" si="32"/>
        <v>9.6908046834568822</v>
      </c>
      <c r="AA33" s="3">
        <f t="shared" si="18"/>
        <v>5420.1651401393674</v>
      </c>
      <c r="AB33" s="3"/>
      <c r="AC33" s="3"/>
      <c r="AD33" s="3"/>
    </row>
    <row r="34" spans="1:30" hidden="1">
      <c r="A34" s="7">
        <f t="shared" si="34"/>
        <v>490</v>
      </c>
      <c r="B34" s="3">
        <f t="shared" si="34"/>
        <v>-52.722700000000003</v>
      </c>
      <c r="D34" s="1">
        <f t="shared" si="33"/>
        <v>28</v>
      </c>
      <c r="E34" s="2">
        <f t="shared" si="35"/>
        <v>10</v>
      </c>
      <c r="F34" s="2">
        <f t="shared" si="35"/>
        <v>12.690759999999999</v>
      </c>
      <c r="G34" s="2">
        <f t="shared" si="4"/>
        <v>8.9737224544109893</v>
      </c>
      <c r="H34" s="2">
        <f t="shared" si="27"/>
        <v>-12.195121951219511</v>
      </c>
      <c r="I34" s="2">
        <f t="shared" si="22"/>
        <v>135</v>
      </c>
      <c r="J34" s="20">
        <f t="shared" si="23"/>
        <v>40.527578048780491</v>
      </c>
      <c r="K34" s="2">
        <f t="shared" si="28"/>
        <v>135</v>
      </c>
      <c r="L34" s="2">
        <f t="shared" si="24"/>
        <v>140.95206483943394</v>
      </c>
      <c r="M34" s="2">
        <f t="shared" si="29"/>
        <v>3.3310650796232877</v>
      </c>
      <c r="N34" s="2">
        <f t="shared" si="30"/>
        <v>73.290018307981313</v>
      </c>
      <c r="P34" s="4">
        <f t="shared" si="9"/>
        <v>0.66539257187604961</v>
      </c>
      <c r="Q34" s="4">
        <f t="shared" si="10"/>
        <v>0.80394277832770178</v>
      </c>
      <c r="R34" s="4">
        <f t="shared" si="11"/>
        <v>5.7036608810485754E-3</v>
      </c>
      <c r="S34" s="4">
        <f t="shared" si="25"/>
        <v>0.74890051638954547</v>
      </c>
      <c r="T34" s="2">
        <f t="shared" si="26"/>
        <v>307.68081607812337</v>
      </c>
      <c r="U34" s="6">
        <f t="shared" si="12"/>
        <v>0.34307980422680046</v>
      </c>
      <c r="V34" s="4">
        <f t="shared" si="13"/>
        <v>0.51560510100000023</v>
      </c>
      <c r="W34" s="4">
        <f t="shared" si="14"/>
        <v>0.91377116171031303</v>
      </c>
      <c r="X34" s="3">
        <f t="shared" si="15"/>
        <v>35.406293641433329</v>
      </c>
      <c r="Y34" s="8">
        <f t="shared" si="31"/>
        <v>33.911171482578006</v>
      </c>
      <c r="Z34" s="3">
        <f t="shared" si="32"/>
        <v>10.180278881375997</v>
      </c>
      <c r="AA34" s="3">
        <f t="shared" si="18"/>
        <v>4990.5901970713485</v>
      </c>
      <c r="AB34" s="3"/>
      <c r="AC34" s="3"/>
      <c r="AD34" s="3"/>
    </row>
    <row r="35" spans="1:30" hidden="1">
      <c r="A35" s="7">
        <f t="shared" si="34"/>
        <v>490</v>
      </c>
      <c r="B35" s="3">
        <f t="shared" si="34"/>
        <v>-52.722700000000003</v>
      </c>
      <c r="D35" s="1">
        <f t="shared" si="33"/>
        <v>29</v>
      </c>
      <c r="E35" s="2">
        <f t="shared" si="35"/>
        <v>10</v>
      </c>
      <c r="F35" s="2">
        <f t="shared" si="35"/>
        <v>12.690759999999999</v>
      </c>
      <c r="G35" s="2">
        <f t="shared" si="4"/>
        <v>8.9737224544109893</v>
      </c>
      <c r="H35" s="2">
        <f t="shared" si="27"/>
        <v>-12.195121951219511</v>
      </c>
      <c r="I35" s="2">
        <f t="shared" si="22"/>
        <v>125</v>
      </c>
      <c r="J35" s="20">
        <f t="shared" si="23"/>
        <v>40.527578048780491</v>
      </c>
      <c r="K35" s="2">
        <f t="shared" si="28"/>
        <v>125</v>
      </c>
      <c r="L35" s="2">
        <f t="shared" si="24"/>
        <v>131.40580117521446</v>
      </c>
      <c r="M35" s="2">
        <f t="shared" si="29"/>
        <v>3.0843195181697109</v>
      </c>
      <c r="N35" s="2">
        <f t="shared" si="30"/>
        <v>72.036236502321458</v>
      </c>
      <c r="P35" s="4">
        <f t="shared" si="9"/>
        <v>0.6689778374584282</v>
      </c>
      <c r="Q35" s="4">
        <f t="shared" si="10"/>
        <v>0.81231518088752774</v>
      </c>
      <c r="R35" s="4">
        <f t="shared" si="11"/>
        <v>6.1817299816497393E-3</v>
      </c>
      <c r="S35" s="4">
        <f t="shared" si="25"/>
        <v>0.74890051638954547</v>
      </c>
      <c r="T35" s="2">
        <f t="shared" si="26"/>
        <v>307.68081607812337</v>
      </c>
      <c r="U35" s="6">
        <f t="shared" si="12"/>
        <v>0.31984403061292177</v>
      </c>
      <c r="V35" s="4">
        <f t="shared" si="13"/>
        <v>0.47810856011025565</v>
      </c>
      <c r="W35" s="4">
        <f t="shared" si="14"/>
        <v>0.89955302350276334</v>
      </c>
      <c r="X35" s="3">
        <f t="shared" si="15"/>
        <v>34.741983261034463</v>
      </c>
      <c r="Y35" s="8">
        <f t="shared" si="31"/>
        <v>33.048372817564996</v>
      </c>
      <c r="Z35" s="3">
        <f t="shared" si="32"/>
        <v>10.714964069992496</v>
      </c>
      <c r="AA35" s="3">
        <f t="shared" si="18"/>
        <v>4565.2981448321234</v>
      </c>
      <c r="AB35" s="3"/>
      <c r="AC35" s="3"/>
      <c r="AD35" s="3"/>
    </row>
    <row r="36" spans="1:30" hidden="1">
      <c r="A36" s="7">
        <f t="shared" ref="A36:B44" si="36">A35</f>
        <v>490</v>
      </c>
      <c r="B36" s="3">
        <f t="shared" si="36"/>
        <v>-52.722700000000003</v>
      </c>
      <c r="D36" s="1">
        <f t="shared" si="33"/>
        <v>30</v>
      </c>
      <c r="E36" s="2">
        <f t="shared" si="35"/>
        <v>10</v>
      </c>
      <c r="F36" s="2">
        <f t="shared" si="35"/>
        <v>12.690759999999999</v>
      </c>
      <c r="G36" s="2">
        <f t="shared" si="4"/>
        <v>8.9737224544109893</v>
      </c>
      <c r="H36" s="2">
        <f t="shared" si="27"/>
        <v>-12.195121951219511</v>
      </c>
      <c r="I36" s="2">
        <f t="shared" si="22"/>
        <v>115</v>
      </c>
      <c r="J36" s="20">
        <f t="shared" si="23"/>
        <v>40.527578048780491</v>
      </c>
      <c r="K36" s="2">
        <f t="shared" si="28"/>
        <v>115</v>
      </c>
      <c r="L36" s="2">
        <f t="shared" si="24"/>
        <v>121.93229507599696</v>
      </c>
      <c r="M36" s="2">
        <f t="shared" si="29"/>
        <v>2.8375739567161342</v>
      </c>
      <c r="N36" s="2">
        <f t="shared" si="30"/>
        <v>70.586842978407702</v>
      </c>
      <c r="P36" s="4">
        <f t="shared" si="9"/>
        <v>0.67322368487803874</v>
      </c>
      <c r="Q36" s="4">
        <f t="shared" si="10"/>
        <v>0.82227477238988766</v>
      </c>
      <c r="R36" s="4">
        <f t="shared" si="11"/>
        <v>6.7436996234458389E-3</v>
      </c>
      <c r="S36" s="4">
        <f t="shared" si="25"/>
        <v>0.74890051638954547</v>
      </c>
      <c r="T36" s="2">
        <f t="shared" si="26"/>
        <v>307.68081607812337</v>
      </c>
      <c r="U36" s="6">
        <f t="shared" si="12"/>
        <v>0.29678535019157865</v>
      </c>
      <c r="V36" s="4">
        <f t="shared" si="13"/>
        <v>0.44084211066540879</v>
      </c>
      <c r="W36" s="4">
        <f t="shared" si="14"/>
        <v>0.88388059832968136</v>
      </c>
      <c r="X36" s="3">
        <f t="shared" si="15"/>
        <v>33.998727210230513</v>
      </c>
      <c r="Y36" s="8">
        <f t="shared" si="31"/>
        <v>32.065775738409641</v>
      </c>
      <c r="Z36" s="3">
        <f t="shared" si="32"/>
        <v>11.30041938202686</v>
      </c>
      <c r="AA36" s="3">
        <f t="shared" si="18"/>
        <v>4145.5428384061543</v>
      </c>
      <c r="AB36" s="3"/>
      <c r="AC36" s="3"/>
      <c r="AD36" s="3"/>
    </row>
    <row r="37" spans="1:30" hidden="1">
      <c r="A37" s="7">
        <f t="shared" si="36"/>
        <v>490</v>
      </c>
      <c r="B37" s="3">
        <f t="shared" si="36"/>
        <v>-52.722700000000003</v>
      </c>
      <c r="D37" s="1">
        <f t="shared" si="33"/>
        <v>31</v>
      </c>
      <c r="E37" s="2">
        <f t="shared" ref="E37:F44" si="37">E36</f>
        <v>10</v>
      </c>
      <c r="F37" s="2">
        <f t="shared" si="37"/>
        <v>12.690759999999999</v>
      </c>
      <c r="G37" s="2">
        <f t="shared" si="4"/>
        <v>8.9737224544109893</v>
      </c>
      <c r="H37" s="2">
        <f t="shared" si="27"/>
        <v>-12.195121951219511</v>
      </c>
      <c r="I37" s="2">
        <f t="shared" si="22"/>
        <v>105</v>
      </c>
      <c r="J37" s="20">
        <f t="shared" si="23"/>
        <v>40.527578048780491</v>
      </c>
      <c r="K37" s="2">
        <f t="shared" si="28"/>
        <v>105</v>
      </c>
      <c r="L37" s="2">
        <f t="shared" si="24"/>
        <v>112.54992040201536</v>
      </c>
      <c r="M37" s="2">
        <f t="shared" si="29"/>
        <v>2.590828395262557</v>
      </c>
      <c r="N37" s="2">
        <f t="shared" si="30"/>
        <v>68.894561938957722</v>
      </c>
      <c r="P37" s="4">
        <f t="shared" si="9"/>
        <v>0.67832493474724442</v>
      </c>
      <c r="Q37" s="4">
        <f t="shared" si="10"/>
        <v>0.83430431541320427</v>
      </c>
      <c r="R37" s="4">
        <f t="shared" si="11"/>
        <v>7.4127490488946172E-3</v>
      </c>
      <c r="S37" s="4">
        <f t="shared" si="25"/>
        <v>0.74890051638954547</v>
      </c>
      <c r="T37" s="2">
        <f t="shared" si="26"/>
        <v>307.68081607812337</v>
      </c>
      <c r="U37" s="6">
        <f t="shared" si="12"/>
        <v>0.27394848526165427</v>
      </c>
      <c r="V37" s="4">
        <f t="shared" si="13"/>
        <v>0.40386026110588463</v>
      </c>
      <c r="W37" s="4">
        <f t="shared" si="14"/>
        <v>0.86662515450362232</v>
      </c>
      <c r="X37" s="3">
        <f t="shared" si="15"/>
        <v>33.165140115710869</v>
      </c>
      <c r="Y37" s="8">
        <f t="shared" si="31"/>
        <v>30.940401376661349</v>
      </c>
      <c r="Z37" s="3">
        <f t="shared" si="32"/>
        <v>11.942281253840362</v>
      </c>
      <c r="AA37" s="3">
        <f t="shared" si="18"/>
        <v>3732.733880144945</v>
      </c>
      <c r="AB37" s="3"/>
      <c r="AC37" s="3"/>
      <c r="AD37" s="3"/>
    </row>
    <row r="38" spans="1:30" hidden="1">
      <c r="A38" s="7">
        <f t="shared" si="36"/>
        <v>490</v>
      </c>
      <c r="B38" s="3">
        <f t="shared" si="36"/>
        <v>-52.722700000000003</v>
      </c>
      <c r="D38" s="1">
        <f t="shared" si="33"/>
        <v>32</v>
      </c>
      <c r="E38" s="2">
        <f t="shared" si="37"/>
        <v>10</v>
      </c>
      <c r="F38" s="2">
        <f t="shared" si="37"/>
        <v>12.690759999999999</v>
      </c>
      <c r="G38" s="2">
        <f t="shared" si="4"/>
        <v>8.9737224544109893</v>
      </c>
      <c r="H38" s="2">
        <f t="shared" si="27"/>
        <v>-12.195121951219511</v>
      </c>
      <c r="I38" s="2">
        <f t="shared" si="22"/>
        <v>95</v>
      </c>
      <c r="J38" s="20">
        <f t="shared" si="23"/>
        <v>40.527578048780491</v>
      </c>
      <c r="K38" s="2">
        <f t="shared" si="28"/>
        <v>95</v>
      </c>
      <c r="L38" s="2">
        <f t="shared" si="24"/>
        <v>103.2835155409613</v>
      </c>
      <c r="M38" s="2">
        <f t="shared" si="29"/>
        <v>2.3440828338089803</v>
      </c>
      <c r="N38" s="2">
        <f t="shared" si="30"/>
        <v>66.8966097195771</v>
      </c>
      <c r="P38" s="4">
        <f t="shared" si="9"/>
        <v>0.68455855882867667</v>
      </c>
      <c r="Q38" s="4">
        <f t="shared" si="10"/>
        <v>0.84909720299024638</v>
      </c>
      <c r="R38" s="4">
        <f t="shared" si="11"/>
        <v>8.2210331294687786E-3</v>
      </c>
      <c r="S38" s="4">
        <f t="shared" si="25"/>
        <v>0.74890051638954547</v>
      </c>
      <c r="T38" s="2">
        <f t="shared" si="26"/>
        <v>307.68081607812337</v>
      </c>
      <c r="U38" s="6">
        <f t="shared" si="12"/>
        <v>0.25139389289553177</v>
      </c>
      <c r="V38" s="4">
        <f t="shared" si="13"/>
        <v>0.36723504461865575</v>
      </c>
      <c r="W38" s="4">
        <f t="shared" si="14"/>
        <v>0.84763849863688412</v>
      </c>
      <c r="X38" s="3">
        <f t="shared" si="15"/>
        <v>32.226722184597193</v>
      </c>
      <c r="Y38" s="8">
        <f t="shared" si="31"/>
        <v>29.642083651989509</v>
      </c>
      <c r="Z38" s="3">
        <f t="shared" si="32"/>
        <v>12.645493249836685</v>
      </c>
      <c r="AA38" s="3">
        <f t="shared" si="18"/>
        <v>3328.4891615870865</v>
      </c>
      <c r="AB38" s="3"/>
      <c r="AC38" s="3"/>
      <c r="AD38" s="3"/>
    </row>
    <row r="39" spans="1:30" hidden="1">
      <c r="A39" s="7">
        <f t="shared" si="36"/>
        <v>490</v>
      </c>
      <c r="B39" s="3">
        <f t="shared" si="36"/>
        <v>-52.722700000000003</v>
      </c>
      <c r="D39" s="1">
        <f t="shared" si="33"/>
        <v>33</v>
      </c>
      <c r="E39" s="2">
        <f t="shared" si="37"/>
        <v>10</v>
      </c>
      <c r="F39" s="2">
        <f t="shared" si="37"/>
        <v>12.690759999999999</v>
      </c>
      <c r="G39" s="2">
        <f t="shared" ref="G39:G47" si="38">F39/SQRT(2)</f>
        <v>8.9737224544109893</v>
      </c>
      <c r="H39" s="2">
        <f t="shared" si="27"/>
        <v>-12.195121951219511</v>
      </c>
      <c r="I39" s="2">
        <f t="shared" si="22"/>
        <v>85</v>
      </c>
      <c r="J39" s="20">
        <f t="shared" ref="J39:J47" si="39">H39-B39</f>
        <v>40.527578048780491</v>
      </c>
      <c r="K39" s="2">
        <f t="shared" ref="K39:K47" si="40">I39</f>
        <v>85</v>
      </c>
      <c r="L39" s="2">
        <f t="shared" ref="L39:L47" si="41">SQRT(J39^2+K39^2)</f>
        <v>94.167322264679456</v>
      </c>
      <c r="M39" s="2">
        <f t="shared" ref="M39:M47" si="42">IF(J39=0,"infinity",ABS(K39/J39))</f>
        <v>2.0973372723554036</v>
      </c>
      <c r="N39" s="2">
        <f t="shared" ref="N39:N47" si="43">IF(J39=0,90,ATAN(M39)*180/PI())</f>
        <v>64.508425567583728</v>
      </c>
      <c r="P39" s="4">
        <f t="shared" ref="P39:P47" si="44">0.209 * (N39+2)^-0.32 * F39</f>
        <v>0.69233037125974251</v>
      </c>
      <c r="Q39" s="4">
        <f t="shared" ref="Q39:Q47" si="45">MIN(1.087*(N39+6)^-0.65 * F39, 0.17*F39)</f>
        <v>0.86768185194355818</v>
      </c>
      <c r="R39" s="4">
        <f t="shared" ref="R39:R47" si="46">Q39/L39</f>
        <v>9.2142564010128034E-3</v>
      </c>
      <c r="S39" s="4">
        <f t="shared" si="25"/>
        <v>0.74890051638954547</v>
      </c>
      <c r="T39" s="2">
        <f t="shared" si="26"/>
        <v>307.68081607812337</v>
      </c>
      <c r="U39" s="6">
        <f t="shared" ref="U39:U47" si="47">S39*L39/T39</f>
        <v>0.22920491816796576</v>
      </c>
      <c r="V39" s="4">
        <f t="shared" ref="V39:V47" si="48">U39/P39</f>
        <v>0.33106292556675176</v>
      </c>
      <c r="W39" s="4">
        <f t="shared" ref="W39:W47" si="49">POWER(V39*(1.9-0.9*V39),0.3)</f>
        <v>0.82675236326584822</v>
      </c>
      <c r="X39" s="3">
        <f t="shared" ref="X39:X47" si="50">0.6*A39*G39*E39*(1+0.5*SIN(N39*PI()/180)^1.5)*W39/1000</f>
        <v>31.164835213999908</v>
      </c>
      <c r="Y39" s="8">
        <f t="shared" ref="Y39:Y47" si="51">X39*SIN(N39*PI()/180)</f>
        <v>28.130894342990047</v>
      </c>
      <c r="Z39" s="3">
        <f t="shared" ref="Z39:Z47" si="52">X39*COS(N39*PI()/180)</f>
        <v>13.412670777265028</v>
      </c>
      <c r="AA39" s="3">
        <f t="shared" ref="AA39:AA47" si="53">L39*X39</f>
        <v>2934.70908092236</v>
      </c>
      <c r="AB39" s="3"/>
      <c r="AC39" s="3"/>
      <c r="AD39" s="3"/>
    </row>
    <row r="40" spans="1:30" hidden="1">
      <c r="A40" s="7">
        <f t="shared" si="36"/>
        <v>490</v>
      </c>
      <c r="B40" s="3">
        <f t="shared" si="36"/>
        <v>-52.722700000000003</v>
      </c>
      <c r="D40" s="1">
        <f t="shared" si="33"/>
        <v>34</v>
      </c>
      <c r="E40" s="2">
        <f t="shared" si="37"/>
        <v>10</v>
      </c>
      <c r="F40" s="2">
        <f t="shared" si="37"/>
        <v>12.690759999999999</v>
      </c>
      <c r="G40" s="2">
        <f t="shared" si="38"/>
        <v>8.9737224544109893</v>
      </c>
      <c r="H40" s="2">
        <f t="shared" si="27"/>
        <v>-12.195121951219511</v>
      </c>
      <c r="I40" s="2">
        <f t="shared" si="22"/>
        <v>75</v>
      </c>
      <c r="J40" s="20">
        <f t="shared" si="39"/>
        <v>40.527578048780491</v>
      </c>
      <c r="K40" s="2">
        <f t="shared" si="40"/>
        <v>75</v>
      </c>
      <c r="L40" s="2">
        <f t="shared" si="41"/>
        <v>85.249543004640174</v>
      </c>
      <c r="M40" s="2">
        <f t="shared" si="42"/>
        <v>1.8505917109018266</v>
      </c>
      <c r="N40" s="2">
        <f t="shared" si="43"/>
        <v>61.614644602952538</v>
      </c>
      <c r="P40" s="4">
        <f t="shared" si="44"/>
        <v>0.70225629922806931</v>
      </c>
      <c r="Q40" s="4">
        <f t="shared" si="45"/>
        <v>0.89164232347160799</v>
      </c>
      <c r="R40" s="4">
        <f t="shared" si="46"/>
        <v>1.0459203557526114E-2</v>
      </c>
      <c r="S40" s="4">
        <f t="shared" si="25"/>
        <v>0.74890051638954547</v>
      </c>
      <c r="T40" s="2">
        <f t="shared" si="26"/>
        <v>307.68081607812337</v>
      </c>
      <c r="U40" s="6">
        <f t="shared" si="47"/>
        <v>0.20749888664471455</v>
      </c>
      <c r="V40" s="4">
        <f t="shared" si="48"/>
        <v>0.2954745822469666</v>
      </c>
      <c r="W40" s="4">
        <f t="shared" si="49"/>
        <v>0.8037804975941123</v>
      </c>
      <c r="X40" s="3">
        <f t="shared" si="50"/>
        <v>29.955394876600501</v>
      </c>
      <c r="Y40" s="8">
        <f t="shared" si="51"/>
        <v>26.353861106595623</v>
      </c>
      <c r="Z40" s="3">
        <f t="shared" si="52"/>
        <v>14.24077550512366</v>
      </c>
      <c r="AA40" s="3">
        <f t="shared" si="53"/>
        <v>2553.6837237537325</v>
      </c>
      <c r="AB40" s="3"/>
      <c r="AC40" s="3"/>
      <c r="AD40" s="3"/>
    </row>
    <row r="41" spans="1:30" hidden="1">
      <c r="A41" s="7">
        <f t="shared" si="36"/>
        <v>490</v>
      </c>
      <c r="B41" s="3">
        <f t="shared" si="36"/>
        <v>-52.722700000000003</v>
      </c>
      <c r="D41" s="1">
        <f t="shared" si="33"/>
        <v>35</v>
      </c>
      <c r="E41" s="2">
        <f t="shared" si="37"/>
        <v>10</v>
      </c>
      <c r="F41" s="2">
        <f t="shared" si="37"/>
        <v>12.690759999999999</v>
      </c>
      <c r="G41" s="2">
        <f t="shared" si="38"/>
        <v>8.9737224544109893</v>
      </c>
      <c r="H41" s="2">
        <f t="shared" si="27"/>
        <v>-12.195121951219511</v>
      </c>
      <c r="I41" s="2">
        <f t="shared" si="22"/>
        <v>65</v>
      </c>
      <c r="J41" s="20">
        <f t="shared" si="39"/>
        <v>40.527578048780491</v>
      </c>
      <c r="K41" s="2">
        <f t="shared" si="40"/>
        <v>65</v>
      </c>
      <c r="L41" s="2">
        <f t="shared" si="41"/>
        <v>76.599507717086496</v>
      </c>
      <c r="M41" s="2">
        <f t="shared" si="42"/>
        <v>1.6038461494482497</v>
      </c>
      <c r="N41" s="2">
        <f t="shared" si="43"/>
        <v>58.056411110181877</v>
      </c>
      <c r="P41" s="4">
        <f t="shared" si="44"/>
        <v>0.71531102188375473</v>
      </c>
      <c r="Q41" s="4">
        <f t="shared" si="45"/>
        <v>0.92353101157395501</v>
      </c>
      <c r="R41" s="4">
        <f t="shared" si="46"/>
        <v>1.2056618104974447E-2</v>
      </c>
      <c r="S41" s="4">
        <f t="shared" si="25"/>
        <v>0.74890051638954547</v>
      </c>
      <c r="T41" s="2">
        <f t="shared" si="26"/>
        <v>307.68081607812337</v>
      </c>
      <c r="U41" s="6">
        <f t="shared" si="47"/>
        <v>0.18644454865832574</v>
      </c>
      <c r="V41" s="4">
        <f t="shared" si="48"/>
        <v>0.26064822567297846</v>
      </c>
      <c r="W41" s="4">
        <f t="shared" si="49"/>
        <v>0.77852631788641391</v>
      </c>
      <c r="X41" s="3">
        <f t="shared" si="50"/>
        <v>28.56741969047086</v>
      </c>
      <c r="Y41" s="8">
        <f t="shared" si="51"/>
        <v>24.241438818886877</v>
      </c>
      <c r="Z41" s="3">
        <f t="shared" si="52"/>
        <v>15.114566211495006</v>
      </c>
      <c r="AA41" s="3">
        <f t="shared" si="53"/>
        <v>2188.2502850374713</v>
      </c>
      <c r="AB41" s="3"/>
      <c r="AC41" s="3"/>
      <c r="AD41" s="3"/>
    </row>
    <row r="42" spans="1:30" hidden="1">
      <c r="A42" s="7">
        <f t="shared" si="36"/>
        <v>490</v>
      </c>
      <c r="B42" s="3">
        <f t="shared" si="36"/>
        <v>-52.722700000000003</v>
      </c>
      <c r="D42" s="1">
        <f t="shared" si="33"/>
        <v>36</v>
      </c>
      <c r="E42" s="2">
        <f t="shared" si="37"/>
        <v>10</v>
      </c>
      <c r="F42" s="2">
        <f t="shared" si="37"/>
        <v>12.690759999999999</v>
      </c>
      <c r="G42" s="2">
        <f t="shared" si="38"/>
        <v>8.9737224544109893</v>
      </c>
      <c r="H42" s="2">
        <f t="shared" si="27"/>
        <v>-12.195121951219511</v>
      </c>
      <c r="I42" s="2">
        <f t="shared" si="22"/>
        <v>55</v>
      </c>
      <c r="J42" s="20">
        <f t="shared" si="39"/>
        <v>40.527578048780491</v>
      </c>
      <c r="K42" s="2">
        <f t="shared" si="40"/>
        <v>55</v>
      </c>
      <c r="L42" s="2">
        <f t="shared" si="41"/>
        <v>68.318991375019536</v>
      </c>
      <c r="M42" s="2">
        <f t="shared" si="42"/>
        <v>1.3571005879946729</v>
      </c>
      <c r="N42" s="2">
        <f t="shared" si="43"/>
        <v>53.614795956218316</v>
      </c>
      <c r="P42" s="4">
        <f t="shared" si="44"/>
        <v>0.73311651963367763</v>
      </c>
      <c r="Q42" s="4">
        <f t="shared" si="45"/>
        <v>0.96769174209957398</v>
      </c>
      <c r="R42" s="4">
        <f t="shared" si="46"/>
        <v>1.416431540664409E-2</v>
      </c>
      <c r="S42" s="4">
        <f t="shared" si="25"/>
        <v>0.74890051638954547</v>
      </c>
      <c r="T42" s="2">
        <f t="shared" si="26"/>
        <v>307.68081607812337</v>
      </c>
      <c r="U42" s="6">
        <f t="shared" si="47"/>
        <v>0.16628962628262767</v>
      </c>
      <c r="V42" s="4">
        <f t="shared" si="48"/>
        <v>0.22682564344030737</v>
      </c>
      <c r="W42" s="4">
        <f t="shared" si="49"/>
        <v>0.75080024885213092</v>
      </c>
      <c r="X42" s="3">
        <f t="shared" si="50"/>
        <v>26.962126383047298</v>
      </c>
      <c r="Y42" s="8">
        <f t="shared" si="51"/>
        <v>21.705779333414185</v>
      </c>
      <c r="Z42" s="3">
        <f t="shared" si="52"/>
        <v>15.994230291719095</v>
      </c>
      <c r="AA42" s="3">
        <f t="shared" si="53"/>
        <v>1842.025279815595</v>
      </c>
      <c r="AB42" s="3"/>
      <c r="AC42" s="3"/>
      <c r="AD42" s="3"/>
    </row>
    <row r="43" spans="1:30" hidden="1">
      <c r="A43" s="7">
        <f t="shared" si="36"/>
        <v>490</v>
      </c>
      <c r="B43" s="3">
        <f t="shared" si="36"/>
        <v>-52.722700000000003</v>
      </c>
      <c r="D43" s="1">
        <f t="shared" si="33"/>
        <v>37</v>
      </c>
      <c r="E43" s="2">
        <f t="shared" si="37"/>
        <v>10</v>
      </c>
      <c r="F43" s="2">
        <f t="shared" si="37"/>
        <v>12.690759999999999</v>
      </c>
      <c r="G43" s="2">
        <f t="shared" si="38"/>
        <v>8.9737224544109893</v>
      </c>
      <c r="H43" s="2">
        <f t="shared" si="27"/>
        <v>-12.195121951219511</v>
      </c>
      <c r="I43" s="2">
        <f t="shared" si="22"/>
        <v>45</v>
      </c>
      <c r="J43" s="20">
        <f t="shared" si="39"/>
        <v>40.527578048780491</v>
      </c>
      <c r="K43" s="2">
        <f t="shared" si="40"/>
        <v>45</v>
      </c>
      <c r="L43" s="2">
        <f t="shared" si="41"/>
        <v>60.559760423072966</v>
      </c>
      <c r="M43" s="2">
        <f t="shared" si="42"/>
        <v>1.110355026541096</v>
      </c>
      <c r="N43" s="2">
        <f t="shared" si="43"/>
        <v>47.993393711877296</v>
      </c>
      <c r="P43" s="4">
        <f t="shared" si="44"/>
        <v>0.75854592407980836</v>
      </c>
      <c r="Q43" s="4">
        <f t="shared" si="45"/>
        <v>1.0320381903023463</v>
      </c>
      <c r="R43" s="4">
        <f t="shared" si="46"/>
        <v>1.7041649159317759E-2</v>
      </c>
      <c r="S43" s="4">
        <f t="shared" si="25"/>
        <v>0.74890051638954547</v>
      </c>
      <c r="T43" s="2">
        <f t="shared" si="26"/>
        <v>307.68081607812337</v>
      </c>
      <c r="U43" s="6">
        <f t="shared" si="47"/>
        <v>0.14740352171241916</v>
      </c>
      <c r="V43" s="4">
        <f t="shared" si="48"/>
        <v>0.19432379376533371</v>
      </c>
      <c r="W43" s="4">
        <f t="shared" si="49"/>
        <v>0.72044814113386535</v>
      </c>
      <c r="X43" s="3">
        <f t="shared" si="50"/>
        <v>25.094846558652254</v>
      </c>
      <c r="Y43" s="8">
        <f t="shared" si="51"/>
        <v>18.647169130958218</v>
      </c>
      <c r="Z43" s="3">
        <f t="shared" si="52"/>
        <v>16.793880052082656</v>
      </c>
      <c r="AA43" s="3">
        <f t="shared" si="53"/>
        <v>1519.7378954457577</v>
      </c>
      <c r="AB43" s="3"/>
      <c r="AC43" s="3"/>
      <c r="AD43" s="3"/>
    </row>
    <row r="44" spans="1:30" hidden="1">
      <c r="A44" s="7">
        <f t="shared" si="36"/>
        <v>490</v>
      </c>
      <c r="B44" s="3">
        <f t="shared" si="36"/>
        <v>-52.722700000000003</v>
      </c>
      <c r="D44" s="1">
        <f t="shared" si="33"/>
        <v>38</v>
      </c>
      <c r="E44" s="2">
        <f t="shared" si="37"/>
        <v>10</v>
      </c>
      <c r="F44" s="2">
        <f t="shared" si="37"/>
        <v>12.690759999999999</v>
      </c>
      <c r="G44" s="2">
        <f t="shared" si="38"/>
        <v>8.9737224544109893</v>
      </c>
      <c r="H44" s="2">
        <f t="shared" si="27"/>
        <v>-12.195121951219511</v>
      </c>
      <c r="I44" s="2">
        <f t="shared" si="22"/>
        <v>35</v>
      </c>
      <c r="J44" s="20">
        <f t="shared" si="39"/>
        <v>40.527578048780491</v>
      </c>
      <c r="K44" s="2">
        <f t="shared" si="40"/>
        <v>35</v>
      </c>
      <c r="L44" s="2">
        <f t="shared" si="41"/>
        <v>53.548898984946405</v>
      </c>
      <c r="M44" s="2">
        <f t="shared" si="42"/>
        <v>0.86360946508751912</v>
      </c>
      <c r="N44" s="2">
        <f t="shared" si="43"/>
        <v>40.814201108237633</v>
      </c>
      <c r="P44" s="4">
        <f t="shared" si="44"/>
        <v>0.79712385629533322</v>
      </c>
      <c r="Q44" s="4">
        <f t="shared" si="45"/>
        <v>1.132326638594167</v>
      </c>
      <c r="R44" s="4">
        <f t="shared" si="46"/>
        <v>2.1145656774614267E-2</v>
      </c>
      <c r="S44" s="4">
        <f t="shared" si="25"/>
        <v>0.74890051638954547</v>
      </c>
      <c r="T44" s="2">
        <f t="shared" si="26"/>
        <v>307.68081607812337</v>
      </c>
      <c r="U44" s="6">
        <f t="shared" si="47"/>
        <v>0.13033896169768169</v>
      </c>
      <c r="V44" s="4">
        <f t="shared" si="48"/>
        <v>0.16351155553597094</v>
      </c>
      <c r="W44" s="4">
        <f t="shared" si="49"/>
        <v>0.68736464138700148</v>
      </c>
      <c r="X44" s="3">
        <f t="shared" si="50"/>
        <v>22.925865813718207</v>
      </c>
      <c r="Y44" s="8">
        <f t="shared" si="51"/>
        <v>14.984534111629603</v>
      </c>
      <c r="Z44" s="3">
        <f t="shared" si="52"/>
        <v>17.351053592390922</v>
      </c>
      <c r="AA44" s="3">
        <f t="shared" si="53"/>
        <v>1227.6548726012325</v>
      </c>
      <c r="AB44" s="3"/>
      <c r="AC44" s="3"/>
      <c r="AD44" s="3"/>
    </row>
    <row r="45" spans="1:30" hidden="1">
      <c r="A45" s="7">
        <f t="shared" ref="A45:B47" si="54">A44</f>
        <v>490</v>
      </c>
      <c r="B45" s="3">
        <f t="shared" si="54"/>
        <v>-52.722700000000003</v>
      </c>
      <c r="D45" s="1">
        <f t="shared" si="33"/>
        <v>39</v>
      </c>
      <c r="E45" s="2">
        <f t="shared" ref="E45:F47" si="55">E44</f>
        <v>10</v>
      </c>
      <c r="F45" s="2">
        <f t="shared" si="55"/>
        <v>12.690759999999999</v>
      </c>
      <c r="G45" s="2">
        <f t="shared" si="38"/>
        <v>8.9737224544109893</v>
      </c>
      <c r="H45" s="2">
        <f t="shared" si="27"/>
        <v>-12.195121951219511</v>
      </c>
      <c r="I45" s="2">
        <f t="shared" si="22"/>
        <v>25</v>
      </c>
      <c r="J45" s="20">
        <f t="shared" si="39"/>
        <v>40.527578048780491</v>
      </c>
      <c r="K45" s="2">
        <f t="shared" si="40"/>
        <v>25</v>
      </c>
      <c r="L45" s="2">
        <f t="shared" si="41"/>
        <v>47.618111916580588</v>
      </c>
      <c r="M45" s="2">
        <f t="shared" si="42"/>
        <v>0.61686390363394217</v>
      </c>
      <c r="N45" s="2">
        <f t="shared" si="43"/>
        <v>31.668937745843099</v>
      </c>
      <c r="P45" s="4">
        <f t="shared" si="44"/>
        <v>0.86083616588126033</v>
      </c>
      <c r="Q45" s="4">
        <f t="shared" si="45"/>
        <v>1.3041513115172181</v>
      </c>
      <c r="R45" s="4">
        <f t="shared" si="46"/>
        <v>2.7387715703677734E-2</v>
      </c>
      <c r="S45" s="4">
        <f t="shared" si="25"/>
        <v>0.74890051638954547</v>
      </c>
      <c r="T45" s="2">
        <f t="shared" si="26"/>
        <v>307.68081607812337</v>
      </c>
      <c r="U45" s="6">
        <f t="shared" si="47"/>
        <v>0.11590332169025323</v>
      </c>
      <c r="V45" s="4">
        <f t="shared" si="48"/>
        <v>0.13464039533190383</v>
      </c>
      <c r="W45" s="4">
        <f t="shared" si="49"/>
        <v>0.65131710147296729</v>
      </c>
      <c r="X45" s="3">
        <f t="shared" si="50"/>
        <v>20.451924862351543</v>
      </c>
      <c r="Y45" s="8">
        <f t="shared" si="51"/>
        <v>10.737471541385389</v>
      </c>
      <c r="Z45" s="3">
        <f t="shared" si="52"/>
        <v>17.406548637602231</v>
      </c>
      <c r="AA45" s="3">
        <f t="shared" si="53"/>
        <v>973.88204700495282</v>
      </c>
      <c r="AB45" s="3"/>
      <c r="AC45" s="3"/>
      <c r="AD45" s="3"/>
    </row>
    <row r="46" spans="1:30" hidden="1">
      <c r="A46" s="7">
        <f t="shared" si="54"/>
        <v>490</v>
      </c>
      <c r="B46" s="3">
        <f t="shared" si="54"/>
        <v>-52.722700000000003</v>
      </c>
      <c r="D46" s="1">
        <f t="shared" si="33"/>
        <v>40</v>
      </c>
      <c r="E46" s="2">
        <f t="shared" si="55"/>
        <v>10</v>
      </c>
      <c r="F46" s="2">
        <f t="shared" si="55"/>
        <v>12.690759999999999</v>
      </c>
      <c r="G46" s="2">
        <f t="shared" si="38"/>
        <v>8.9737224544109893</v>
      </c>
      <c r="H46" s="2">
        <f t="shared" si="27"/>
        <v>-12.195121951219511</v>
      </c>
      <c r="I46" s="2">
        <f t="shared" si="22"/>
        <v>15</v>
      </c>
      <c r="J46" s="20">
        <f t="shared" si="39"/>
        <v>40.527578048780491</v>
      </c>
      <c r="K46" s="2">
        <f t="shared" si="40"/>
        <v>15</v>
      </c>
      <c r="L46" s="2">
        <f t="shared" si="41"/>
        <v>43.214402489216418</v>
      </c>
      <c r="M46" s="2">
        <f t="shared" si="42"/>
        <v>0.37011834218036532</v>
      </c>
      <c r="N46" s="2">
        <f t="shared" si="43"/>
        <v>20.310437511802441</v>
      </c>
      <c r="P46" s="4">
        <f t="shared" si="44"/>
        <v>0.98199964176386489</v>
      </c>
      <c r="Q46" s="4">
        <f t="shared" si="45"/>
        <v>1.6467737275276477</v>
      </c>
      <c r="R46" s="4">
        <f t="shared" si="46"/>
        <v>3.8107057662976555E-2</v>
      </c>
      <c r="S46" s="4">
        <f t="shared" si="25"/>
        <v>0.74890051638954547</v>
      </c>
      <c r="T46" s="2">
        <f t="shared" si="26"/>
        <v>307.68081607812337</v>
      </c>
      <c r="U46" s="6">
        <f t="shared" si="47"/>
        <v>0.10518461551214314</v>
      </c>
      <c r="V46" s="4">
        <f t="shared" si="48"/>
        <v>0.10711268216270511</v>
      </c>
      <c r="W46" s="4">
        <f t="shared" si="49"/>
        <v>0.61065263322047048</v>
      </c>
      <c r="X46" s="3">
        <f t="shared" si="50"/>
        <v>17.758013435342512</v>
      </c>
      <c r="Y46" s="8">
        <f t="shared" si="51"/>
        <v>6.1639218914714107</v>
      </c>
      <c r="Z46" s="3">
        <f t="shared" si="52"/>
        <v>16.653921702879618</v>
      </c>
      <c r="AA46" s="3">
        <f t="shared" si="53"/>
        <v>767.40194000380404</v>
      </c>
      <c r="AB46" s="3"/>
      <c r="AC46" s="3"/>
      <c r="AD46" s="3"/>
    </row>
    <row r="47" spans="1:30" hidden="1">
      <c r="A47" s="7">
        <f t="shared" si="54"/>
        <v>490</v>
      </c>
      <c r="B47" s="3">
        <f t="shared" si="54"/>
        <v>-52.722700000000003</v>
      </c>
      <c r="D47" s="1">
        <f t="shared" si="33"/>
        <v>41</v>
      </c>
      <c r="E47" s="2">
        <f t="shared" si="55"/>
        <v>10</v>
      </c>
      <c r="F47" s="2">
        <f t="shared" si="55"/>
        <v>12.690759999999999</v>
      </c>
      <c r="G47" s="2">
        <f t="shared" si="38"/>
        <v>8.9737224544109893</v>
      </c>
      <c r="H47" s="2">
        <f t="shared" si="27"/>
        <v>-12.195121951219511</v>
      </c>
      <c r="I47" s="2">
        <f t="shared" si="22"/>
        <v>5</v>
      </c>
      <c r="J47" s="20">
        <f t="shared" si="39"/>
        <v>40.527578048780491</v>
      </c>
      <c r="K47" s="2">
        <f t="shared" si="40"/>
        <v>5</v>
      </c>
      <c r="L47" s="2">
        <f t="shared" si="41"/>
        <v>40.834845199902425</v>
      </c>
      <c r="M47" s="2">
        <f t="shared" si="42"/>
        <v>0.12337278072678844</v>
      </c>
      <c r="N47" s="2">
        <f t="shared" si="43"/>
        <v>7.0331995930728715</v>
      </c>
      <c r="P47" s="4">
        <f t="shared" si="44"/>
        <v>1.3114888515309364</v>
      </c>
      <c r="Q47" s="4">
        <f t="shared" si="45"/>
        <v>2.1574292000000002</v>
      </c>
      <c r="R47" s="4">
        <f t="shared" si="46"/>
        <v>5.2833044656800984E-2</v>
      </c>
      <c r="S47" s="4">
        <f t="shared" si="25"/>
        <v>0.74890051638954547</v>
      </c>
      <c r="T47" s="2">
        <f t="shared" si="26"/>
        <v>307.68081607812337</v>
      </c>
      <c r="U47" s="6">
        <f t="shared" si="47"/>
        <v>9.9392731229395792E-2</v>
      </c>
      <c r="V47" s="4">
        <f t="shared" si="48"/>
        <v>7.5786180807691936E-2</v>
      </c>
      <c r="W47" s="4">
        <f t="shared" si="49"/>
        <v>0.55301878662531345</v>
      </c>
      <c r="X47" s="3">
        <f t="shared" si="50"/>
        <v>14.902716747489787</v>
      </c>
      <c r="Y47" s="8">
        <f t="shared" si="51"/>
        <v>1.8247548967720095</v>
      </c>
      <c r="Z47" s="3">
        <f t="shared" si="52"/>
        <v>14.790579299764399</v>
      </c>
      <c r="AA47" s="3">
        <f t="shared" si="53"/>
        <v>608.55013144173881</v>
      </c>
      <c r="AB47" s="3"/>
      <c r="AC47" s="3"/>
      <c r="AD47" s="3"/>
    </row>
    <row r="48" spans="1:30" hidden="1">
      <c r="A48" s="7"/>
      <c r="B48" s="3"/>
      <c r="D48" s="1"/>
      <c r="E48" s="2"/>
      <c r="F48" s="2"/>
      <c r="G48" s="2"/>
      <c r="H48" s="2"/>
      <c r="I48" s="2"/>
      <c r="J48" s="20"/>
      <c r="K48" s="2"/>
      <c r="L48" s="2"/>
      <c r="M48" s="2"/>
      <c r="N48" s="2"/>
      <c r="P48" s="4"/>
      <c r="Q48" s="4"/>
      <c r="R48" s="4"/>
      <c r="S48" s="4"/>
      <c r="T48" s="2"/>
      <c r="U48" s="6"/>
      <c r="V48" s="4"/>
      <c r="W48" s="4"/>
      <c r="X48" s="3"/>
      <c r="Y48" s="8"/>
      <c r="Z48" s="3"/>
      <c r="AA48" s="3"/>
      <c r="AB48" s="3"/>
      <c r="AC48" s="3"/>
      <c r="AD48" s="3"/>
    </row>
    <row r="49" spans="1:31" hidden="1">
      <c r="A49" s="7"/>
      <c r="B49" s="3"/>
      <c r="D49" s="1"/>
      <c r="E49" s="2"/>
      <c r="F49" s="2"/>
      <c r="G49" s="2"/>
      <c r="H49" s="2"/>
      <c r="I49" s="2"/>
      <c r="J49" s="20"/>
      <c r="K49" s="2"/>
      <c r="L49" s="2"/>
      <c r="M49" s="2"/>
      <c r="N49" s="2"/>
      <c r="P49" s="4"/>
      <c r="Q49" s="4"/>
      <c r="R49" s="4"/>
      <c r="S49" s="4"/>
      <c r="T49" s="2"/>
      <c r="U49" s="6"/>
      <c r="V49" s="4"/>
      <c r="W49" s="4"/>
      <c r="X49" s="3"/>
      <c r="Y49" s="8"/>
      <c r="Z49" s="3"/>
      <c r="AA49" s="3"/>
      <c r="AB49" s="3"/>
      <c r="AC49" s="3"/>
      <c r="AD49" s="3"/>
    </row>
    <row r="50" spans="1:31">
      <c r="A50" s="7"/>
      <c r="B50" s="3"/>
      <c r="D50" s="1"/>
      <c r="E50" s="2"/>
      <c r="F50" s="2"/>
      <c r="G50" s="2"/>
      <c r="H50" s="2"/>
      <c r="I50" s="2"/>
      <c r="J50" s="20"/>
      <c r="K50" s="2"/>
      <c r="L50" s="2"/>
      <c r="M50" s="2"/>
      <c r="N50" s="2"/>
      <c r="P50" s="4"/>
      <c r="Q50" s="4"/>
      <c r="R50" s="4"/>
      <c r="S50" s="4"/>
      <c r="T50" s="2"/>
      <c r="U50" s="6"/>
      <c r="V50" s="4"/>
      <c r="W50" s="4"/>
      <c r="X50" s="3"/>
      <c r="Y50" s="8"/>
      <c r="Z50" s="3"/>
      <c r="AA50" s="3"/>
      <c r="AB50" s="3"/>
      <c r="AC50" s="3"/>
      <c r="AD50" s="3"/>
    </row>
    <row r="51" spans="1:31">
      <c r="A51" s="7"/>
      <c r="B51" s="3"/>
      <c r="D51" s="1"/>
      <c r="E51" s="2"/>
      <c r="F51" s="2"/>
      <c r="G51" s="2"/>
      <c r="H51" s="2"/>
      <c r="I51" s="2"/>
      <c r="J51" s="20"/>
      <c r="K51" s="2"/>
      <c r="L51" s="2"/>
      <c r="M51" s="2"/>
      <c r="N51" s="2"/>
      <c r="P51" s="4"/>
      <c r="Q51" s="4"/>
      <c r="R51" s="4"/>
      <c r="S51" s="4"/>
      <c r="T51" s="2"/>
      <c r="U51" s="6"/>
      <c r="V51" s="4"/>
      <c r="W51" s="4"/>
      <c r="X51" s="3"/>
      <c r="Y51" s="8"/>
      <c r="Z51" s="3"/>
      <c r="AA51" s="3"/>
      <c r="AB51" s="3"/>
      <c r="AC51" s="3"/>
      <c r="AD51" s="3"/>
    </row>
    <row r="52" spans="1:31">
      <c r="A52" s="7"/>
      <c r="B52" s="3"/>
      <c r="D52" s="1"/>
      <c r="E52" s="2"/>
      <c r="F52" s="2"/>
      <c r="G52" s="2"/>
      <c r="H52" s="2"/>
      <c r="I52" s="2"/>
      <c r="J52" s="20"/>
      <c r="K52" s="2"/>
      <c r="L52" s="2"/>
      <c r="M52" s="2"/>
      <c r="N52" s="2"/>
      <c r="P52" s="4"/>
      <c r="Q52" s="4"/>
      <c r="R52" s="4"/>
      <c r="S52" s="4"/>
      <c r="T52" s="2"/>
      <c r="U52" s="6"/>
      <c r="V52" s="4"/>
      <c r="W52" s="4"/>
      <c r="X52" s="3"/>
      <c r="Y52" s="8"/>
      <c r="Z52" s="3"/>
      <c r="AA52" s="3"/>
      <c r="AB52" s="3"/>
      <c r="AC52" s="3"/>
      <c r="AD52" s="3"/>
    </row>
    <row r="53" spans="1:31">
      <c r="A53" s="7"/>
      <c r="B53" s="3"/>
      <c r="D53" s="1"/>
      <c r="E53" s="2"/>
      <c r="F53" s="2"/>
      <c r="G53" s="2"/>
      <c r="H53" s="2"/>
      <c r="I53" s="2"/>
      <c r="J53" s="20"/>
      <c r="K53" s="2"/>
      <c r="L53" s="2"/>
      <c r="M53" s="2"/>
      <c r="N53" s="2"/>
      <c r="P53" s="4"/>
      <c r="Q53" s="4"/>
      <c r="R53" s="4"/>
      <c r="S53" s="4"/>
      <c r="T53" s="2"/>
      <c r="U53" s="6"/>
      <c r="V53" s="4"/>
      <c r="W53" s="4"/>
      <c r="X53" s="3"/>
      <c r="Y53" s="8"/>
      <c r="Z53" s="3"/>
      <c r="AA53" s="3"/>
      <c r="AB53" s="3"/>
      <c r="AC53" s="3"/>
      <c r="AD53" s="3"/>
    </row>
    <row r="54" spans="1:31">
      <c r="A54" s="7"/>
      <c r="B54" s="3"/>
      <c r="D54" s="1"/>
      <c r="E54" s="2"/>
      <c r="F54" s="2"/>
      <c r="G54" s="2"/>
      <c r="H54" s="2"/>
      <c r="I54" s="2"/>
      <c r="J54" s="20"/>
      <c r="K54" s="2"/>
      <c r="L54" s="2"/>
      <c r="M54" s="2"/>
      <c r="N54" s="2"/>
      <c r="P54" s="4"/>
      <c r="Q54" s="4"/>
      <c r="R54" s="4"/>
      <c r="S54" s="4"/>
      <c r="T54" s="2"/>
      <c r="U54" s="6"/>
      <c r="V54" s="4"/>
      <c r="W54" s="4"/>
      <c r="X54" s="3"/>
      <c r="Y54" s="8"/>
      <c r="Z54" s="3"/>
      <c r="AA54" s="3"/>
      <c r="AB54" s="3"/>
      <c r="AC54" s="3"/>
      <c r="AD54" s="3"/>
    </row>
    <row r="55" spans="1:31">
      <c r="A55" s="7"/>
      <c r="B55" s="3"/>
      <c r="D55" s="1"/>
      <c r="E55" s="2"/>
      <c r="F55" s="2"/>
      <c r="G55" s="2"/>
      <c r="H55" s="2"/>
      <c r="I55" s="2"/>
      <c r="J55" s="20"/>
      <c r="K55" s="2"/>
      <c r="L55" s="2"/>
      <c r="M55" s="2"/>
      <c r="N55" s="2"/>
      <c r="P55" s="4"/>
      <c r="Q55" s="4"/>
      <c r="R55" s="4"/>
      <c r="S55" s="4"/>
      <c r="T55" s="2"/>
      <c r="U55" s="6"/>
      <c r="V55" s="4"/>
      <c r="W55" s="4"/>
      <c r="X55" s="3"/>
      <c r="Y55" s="8"/>
      <c r="Z55" s="3"/>
      <c r="AA55" s="3"/>
      <c r="AB55" s="3"/>
      <c r="AC55" s="3"/>
      <c r="AD55" s="3"/>
    </row>
    <row r="56" spans="1:31">
      <c r="A56" s="7"/>
      <c r="B56" s="3"/>
      <c r="D56" s="1"/>
      <c r="E56" s="2"/>
      <c r="F56" s="2"/>
      <c r="G56" s="2"/>
      <c r="H56" s="2"/>
      <c r="I56" s="2"/>
      <c r="J56" s="20"/>
      <c r="K56" s="2"/>
      <c r="L56" s="2"/>
      <c r="M56" s="2"/>
      <c r="N56" s="2"/>
      <c r="P56" s="4"/>
      <c r="Q56" s="4"/>
      <c r="R56" s="4"/>
      <c r="S56" s="4"/>
      <c r="T56" s="2"/>
      <c r="U56" s="6"/>
      <c r="V56" s="4"/>
      <c r="W56" s="4"/>
      <c r="X56" s="3"/>
      <c r="Y56" s="8"/>
      <c r="Z56" s="3"/>
      <c r="AA56" s="3"/>
      <c r="AB56" s="3"/>
      <c r="AC56" s="3"/>
      <c r="AD56" s="3"/>
    </row>
    <row r="57" spans="1:31">
      <c r="A57" s="7"/>
      <c r="B57" s="3"/>
      <c r="D57" s="1"/>
      <c r="E57" s="2"/>
      <c r="F57" s="2"/>
      <c r="G57" s="2"/>
      <c r="H57" s="2"/>
      <c r="I57" s="2"/>
      <c r="J57" s="20"/>
      <c r="K57" s="2"/>
      <c r="L57" s="2"/>
      <c r="M57" s="2"/>
      <c r="N57" s="2"/>
      <c r="P57" s="4"/>
      <c r="Q57" s="4"/>
      <c r="R57" s="4"/>
      <c r="S57" s="4"/>
      <c r="T57" s="2"/>
      <c r="U57" s="6"/>
      <c r="V57" s="4"/>
      <c r="W57" s="4"/>
      <c r="X57" s="3"/>
      <c r="Y57" s="8"/>
      <c r="Z57" s="3"/>
      <c r="AA57" s="3"/>
      <c r="AB57" s="3"/>
      <c r="AC57" s="3"/>
      <c r="AD57" s="3"/>
    </row>
    <row r="58" spans="1:31">
      <c r="A58" s="7"/>
      <c r="B58" s="3"/>
      <c r="D58" s="1"/>
      <c r="E58" s="2"/>
      <c r="F58" s="2"/>
      <c r="G58" s="2"/>
      <c r="H58" s="2"/>
      <c r="I58" s="2"/>
      <c r="J58" s="20"/>
      <c r="K58" s="2"/>
      <c r="L58" s="2"/>
      <c r="M58" s="2"/>
      <c r="N58" s="2"/>
      <c r="P58" s="4"/>
      <c r="Q58" s="4"/>
      <c r="R58" s="4"/>
      <c r="S58" s="4"/>
      <c r="T58" s="2"/>
      <c r="U58" s="6"/>
      <c r="V58" s="4"/>
      <c r="W58" s="4"/>
      <c r="X58" s="3"/>
      <c r="Y58" s="8"/>
      <c r="Z58" s="3"/>
      <c r="AA58" s="3"/>
      <c r="AB58" s="3"/>
      <c r="AC58" s="3"/>
      <c r="AD58" s="3"/>
    </row>
    <row r="59" spans="1:31">
      <c r="A59" s="7"/>
      <c r="B59" s="3"/>
      <c r="D59" s="1"/>
      <c r="E59" s="2"/>
      <c r="F59" s="2"/>
      <c r="G59" s="2"/>
      <c r="H59" s="2"/>
      <c r="I59" s="2"/>
      <c r="J59" s="20"/>
      <c r="K59" s="2"/>
      <c r="L59" s="2"/>
      <c r="M59" s="2"/>
      <c r="N59" s="2"/>
      <c r="P59" s="4"/>
      <c r="Q59" s="4"/>
      <c r="R59" s="4"/>
      <c r="S59" s="4"/>
      <c r="T59" s="2"/>
      <c r="U59" s="6"/>
      <c r="V59" s="4"/>
      <c r="W59" s="4"/>
      <c r="X59" s="3"/>
      <c r="Y59" s="8"/>
      <c r="Z59" s="3"/>
      <c r="AA59" s="3"/>
      <c r="AB59" s="3"/>
      <c r="AC59" s="3"/>
      <c r="AD59" s="3"/>
    </row>
    <row r="60" spans="1:31"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X60" s="14" t="s">
        <v>26</v>
      </c>
      <c r="Y60" s="9">
        <f>ABS(SUM(Y3:Y59))</f>
        <v>1217.6231843074568</v>
      </c>
      <c r="Z60" s="19">
        <f>SUM(Z3:Z59)</f>
        <v>396.61561413771904</v>
      </c>
      <c r="AA60" s="10">
        <f>SUM(AA3:AA59)</f>
        <v>275180.39839145361</v>
      </c>
      <c r="AB60" s="3"/>
      <c r="AC60" s="3"/>
      <c r="AD60" s="3"/>
      <c r="AE60" s="15"/>
    </row>
    <row r="61" spans="1:31" ht="23.25" customHeight="1"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R61" s="5"/>
      <c r="X61" s="14" t="s">
        <v>25</v>
      </c>
      <c r="Y61" s="3">
        <f>0.75*Y60</f>
        <v>913.21738823059263</v>
      </c>
      <c r="Z61" s="17">
        <f>0.75*Z60</f>
        <v>297.46171060328925</v>
      </c>
      <c r="AA61" s="18">
        <f>AA60/AB21</f>
        <v>396.61560854405064</v>
      </c>
      <c r="AB61" s="16" t="str">
        <f>IF(ABS(Z60-AA61)&lt;0.1,"balanced ro = "&amp;B3, "NG")</f>
        <v>balanced ro = -52.7227</v>
      </c>
      <c r="AC61" s="3"/>
    </row>
    <row r="62" spans="1:31"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Z62" s="21"/>
    </row>
    <row r="63" spans="1:31"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</row>
  </sheetData>
  <phoneticPr fontId="1" type="noConversion"/>
  <conditionalFormatting sqref="R3:R14 R17:R31">
    <cfRule type="cellIs" dxfId="218" priority="67" operator="equal">
      <formula>#REF!</formula>
    </cfRule>
  </conditionalFormatting>
  <conditionalFormatting sqref="R3:R14 R17:R31 R59">
    <cfRule type="cellIs" dxfId="217" priority="64" operator="equal">
      <formula>MIN($R$3:$R$59)</formula>
    </cfRule>
    <cfRule type="cellIs" dxfId="216" priority="65" operator="equal">
      <formula>0.05292</formula>
    </cfRule>
    <cfRule type="cellIs" dxfId="215" priority="66" operator="equal">
      <formula>MIN($R$3:$R$59)</formula>
    </cfRule>
  </conditionalFormatting>
  <conditionalFormatting sqref="R3:R14 R17:R31 R59">
    <cfRule type="cellIs" dxfId="214" priority="63" operator="equal">
      <formula>MIN($R$3:$R$59)</formula>
    </cfRule>
  </conditionalFormatting>
  <conditionalFormatting sqref="R32:R38 R59">
    <cfRule type="cellIs" dxfId="213" priority="62" operator="equal">
      <formula>#REF!</formula>
    </cfRule>
  </conditionalFormatting>
  <conditionalFormatting sqref="R32:R38">
    <cfRule type="cellIs" dxfId="212" priority="59" operator="equal">
      <formula>MIN($R$3:$R$59)</formula>
    </cfRule>
    <cfRule type="cellIs" dxfId="211" priority="60" operator="equal">
      <formula>0.05292</formula>
    </cfRule>
    <cfRule type="cellIs" dxfId="210" priority="61" operator="equal">
      <formula>MIN($R$3:$R$59)</formula>
    </cfRule>
  </conditionalFormatting>
  <conditionalFormatting sqref="R32:R38">
    <cfRule type="cellIs" dxfId="209" priority="58" operator="equal">
      <formula>MIN($R$3:$R$59)</formula>
    </cfRule>
  </conditionalFormatting>
  <conditionalFormatting sqref="R39">
    <cfRule type="cellIs" dxfId="208" priority="57" operator="equal">
      <formula>#REF!</formula>
    </cfRule>
  </conditionalFormatting>
  <conditionalFormatting sqref="R39">
    <cfRule type="cellIs" dxfId="207" priority="54" operator="equal">
      <formula>MIN($R$3:$R$59)</formula>
    </cfRule>
    <cfRule type="cellIs" dxfId="206" priority="55" operator="equal">
      <formula>0.05292</formula>
    </cfRule>
    <cfRule type="cellIs" dxfId="205" priority="56" operator="equal">
      <formula>MIN($R$3:$R$59)</formula>
    </cfRule>
  </conditionalFormatting>
  <conditionalFormatting sqref="R39">
    <cfRule type="cellIs" dxfId="204" priority="53" operator="equal">
      <formula>MIN($R$3:$R$59)</formula>
    </cfRule>
  </conditionalFormatting>
  <conditionalFormatting sqref="R40">
    <cfRule type="cellIs" dxfId="203" priority="52" operator="equal">
      <formula>#REF!</formula>
    </cfRule>
  </conditionalFormatting>
  <conditionalFormatting sqref="R40">
    <cfRule type="cellIs" dxfId="202" priority="49" operator="equal">
      <formula>MIN($R$3:$R$59)</formula>
    </cfRule>
    <cfRule type="cellIs" dxfId="201" priority="50" operator="equal">
      <formula>0.05292</formula>
    </cfRule>
    <cfRule type="cellIs" dxfId="200" priority="51" operator="equal">
      <formula>MIN($R$3:$R$59)</formula>
    </cfRule>
  </conditionalFormatting>
  <conditionalFormatting sqref="R40">
    <cfRule type="cellIs" dxfId="199" priority="48" operator="equal">
      <formula>MIN($R$3:$R$59)</formula>
    </cfRule>
  </conditionalFormatting>
  <conditionalFormatting sqref="R41">
    <cfRule type="cellIs" dxfId="198" priority="47" operator="equal">
      <formula>#REF!</formula>
    </cfRule>
  </conditionalFormatting>
  <conditionalFormatting sqref="R41">
    <cfRule type="cellIs" dxfId="197" priority="44" operator="equal">
      <formula>MIN($R$3:$R$59)</formula>
    </cfRule>
    <cfRule type="cellIs" dxfId="196" priority="45" operator="equal">
      <formula>0.05292</formula>
    </cfRule>
    <cfRule type="cellIs" dxfId="195" priority="46" operator="equal">
      <formula>MIN($R$3:$R$59)</formula>
    </cfRule>
  </conditionalFormatting>
  <conditionalFormatting sqref="R41">
    <cfRule type="cellIs" dxfId="194" priority="43" operator="equal">
      <formula>MIN($R$3:$R$59)</formula>
    </cfRule>
  </conditionalFormatting>
  <conditionalFormatting sqref="R42">
    <cfRule type="cellIs" dxfId="193" priority="42" operator="equal">
      <formula>#REF!</formula>
    </cfRule>
  </conditionalFormatting>
  <conditionalFormatting sqref="R42">
    <cfRule type="cellIs" dxfId="192" priority="39" operator="equal">
      <formula>MIN($R$3:$R$59)</formula>
    </cfRule>
    <cfRule type="cellIs" dxfId="191" priority="40" operator="equal">
      <formula>0.05292</formula>
    </cfRule>
    <cfRule type="cellIs" dxfId="190" priority="41" operator="equal">
      <formula>MIN($R$3:$R$59)</formula>
    </cfRule>
  </conditionalFormatting>
  <conditionalFormatting sqref="R42">
    <cfRule type="cellIs" dxfId="189" priority="38" operator="equal">
      <formula>MIN($R$3:$R$59)</formula>
    </cfRule>
  </conditionalFormatting>
  <conditionalFormatting sqref="R43">
    <cfRule type="cellIs" dxfId="188" priority="37" operator="equal">
      <formula>#REF!</formula>
    </cfRule>
  </conditionalFormatting>
  <conditionalFormatting sqref="R43">
    <cfRule type="cellIs" dxfId="187" priority="34" operator="equal">
      <formula>MIN($R$3:$R$59)</formula>
    </cfRule>
    <cfRule type="cellIs" dxfId="186" priority="35" operator="equal">
      <formula>0.05292</formula>
    </cfRule>
    <cfRule type="cellIs" dxfId="185" priority="36" operator="equal">
      <formula>MIN($R$3:$R$59)</formula>
    </cfRule>
  </conditionalFormatting>
  <conditionalFormatting sqref="R43">
    <cfRule type="cellIs" dxfId="184" priority="33" operator="equal">
      <formula>MIN($R$3:$R$59)</formula>
    </cfRule>
  </conditionalFormatting>
  <conditionalFormatting sqref="R44">
    <cfRule type="cellIs" dxfId="183" priority="32" operator="equal">
      <formula>#REF!</formula>
    </cfRule>
  </conditionalFormatting>
  <conditionalFormatting sqref="R44">
    <cfRule type="cellIs" dxfId="182" priority="29" operator="equal">
      <formula>MIN($R$3:$R$59)</formula>
    </cfRule>
    <cfRule type="cellIs" dxfId="181" priority="30" operator="equal">
      <formula>0.05292</formula>
    </cfRule>
    <cfRule type="cellIs" dxfId="180" priority="31" operator="equal">
      <formula>MIN($R$3:$R$59)</formula>
    </cfRule>
  </conditionalFormatting>
  <conditionalFormatting sqref="R44">
    <cfRule type="cellIs" dxfId="179" priority="28" operator="equal">
      <formula>MIN($R$3:$R$59)</formula>
    </cfRule>
  </conditionalFormatting>
  <conditionalFormatting sqref="R45">
    <cfRule type="cellIs" dxfId="178" priority="27" operator="equal">
      <formula>#REF!</formula>
    </cfRule>
  </conditionalFormatting>
  <conditionalFormatting sqref="R45">
    <cfRule type="cellIs" dxfId="177" priority="24" operator="equal">
      <formula>MIN($R$3:$R$59)</formula>
    </cfRule>
    <cfRule type="cellIs" dxfId="176" priority="25" operator="equal">
      <formula>0.05292</formula>
    </cfRule>
    <cfRule type="cellIs" dxfId="175" priority="26" operator="equal">
      <formula>MIN($R$3:$R$59)</formula>
    </cfRule>
  </conditionalFormatting>
  <conditionalFormatting sqref="R45">
    <cfRule type="cellIs" dxfId="174" priority="23" operator="equal">
      <formula>MIN($R$3:$R$59)</formula>
    </cfRule>
  </conditionalFormatting>
  <conditionalFormatting sqref="R46">
    <cfRule type="cellIs" dxfId="173" priority="22" operator="equal">
      <formula>#REF!</formula>
    </cfRule>
  </conditionalFormatting>
  <conditionalFormatting sqref="R46">
    <cfRule type="cellIs" dxfId="172" priority="19" operator="equal">
      <formula>MIN($R$3:$R$59)</formula>
    </cfRule>
    <cfRule type="cellIs" dxfId="171" priority="20" operator="equal">
      <formula>0.05292</formula>
    </cfRule>
    <cfRule type="cellIs" dxfId="170" priority="21" operator="equal">
      <formula>MIN($R$3:$R$59)</formula>
    </cfRule>
  </conditionalFormatting>
  <conditionalFormatting sqref="R46">
    <cfRule type="cellIs" dxfId="169" priority="18" operator="equal">
      <formula>MIN($R$3:$R$59)</formula>
    </cfRule>
  </conditionalFormatting>
  <conditionalFormatting sqref="R47:R56">
    <cfRule type="cellIs" dxfId="168" priority="17" operator="equal">
      <formula>#REF!</formula>
    </cfRule>
  </conditionalFormatting>
  <conditionalFormatting sqref="R47:R56">
    <cfRule type="cellIs" dxfId="167" priority="14" operator="equal">
      <formula>MIN($R$3:$R$59)</formula>
    </cfRule>
    <cfRule type="cellIs" dxfId="166" priority="15" operator="equal">
      <formula>0.05292</formula>
    </cfRule>
    <cfRule type="cellIs" dxfId="165" priority="16" operator="equal">
      <formula>MIN($R$3:$R$59)</formula>
    </cfRule>
  </conditionalFormatting>
  <conditionalFormatting sqref="R47:R56">
    <cfRule type="cellIs" dxfId="164" priority="13" operator="equal">
      <formula>MIN($R$3:$R$59)</formula>
    </cfRule>
  </conditionalFormatting>
  <conditionalFormatting sqref="R57">
    <cfRule type="cellIs" dxfId="163" priority="12" operator="equal">
      <formula>#REF!</formula>
    </cfRule>
  </conditionalFormatting>
  <conditionalFormatting sqref="R57">
    <cfRule type="cellIs" dxfId="162" priority="9" operator="equal">
      <formula>MIN($R$3:$R$59)</formula>
    </cfRule>
    <cfRule type="cellIs" dxfId="161" priority="10" operator="equal">
      <formula>0.05292</formula>
    </cfRule>
    <cfRule type="cellIs" dxfId="160" priority="11" operator="equal">
      <formula>MIN($R$3:$R$59)</formula>
    </cfRule>
  </conditionalFormatting>
  <conditionalFormatting sqref="R57">
    <cfRule type="cellIs" dxfId="159" priority="8" operator="equal">
      <formula>MIN($R$3:$R$59)</formula>
    </cfRule>
  </conditionalFormatting>
  <conditionalFormatting sqref="R58">
    <cfRule type="cellIs" dxfId="158" priority="7" operator="equal">
      <formula>#REF!</formula>
    </cfRule>
  </conditionalFormatting>
  <conditionalFormatting sqref="R58">
    <cfRule type="cellIs" dxfId="157" priority="4" operator="equal">
      <formula>MIN($R$3:$R$59)</formula>
    </cfRule>
    <cfRule type="cellIs" dxfId="156" priority="5" operator="equal">
      <formula>0.05292</formula>
    </cfRule>
    <cfRule type="cellIs" dxfId="155" priority="6" operator="equal">
      <formula>MIN($R$3:$R$59)</formula>
    </cfRule>
  </conditionalFormatting>
  <conditionalFormatting sqref="R58">
    <cfRule type="cellIs" dxfId="154" priority="3" operator="equal">
      <formula>MIN($R$3:$R$59)</formula>
    </cfRule>
  </conditionalFormatting>
  <conditionalFormatting sqref="F3">
    <cfRule type="expression" dxfId="153" priority="2">
      <formula>ABS($Z$61-$AC$18)&lt;0.001</formula>
    </cfRule>
  </conditionalFormatting>
  <conditionalFormatting sqref="B3">
    <cfRule type="expression" dxfId="152" priority="1">
      <formula>ABS($Z$60-$AA$61)&lt;0.001</formula>
    </cfRule>
  </conditionalFormatting>
  <pageMargins left="0.7" right="0.7" top="0.75" bottom="0.75" header="0.3" footer="0.3"/>
  <pageSetup paperSize="9" orientation="portrait" r:id="rId1"/>
  <ignoredErrors>
    <ignoredError sqref="J4:J12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63"/>
  <sheetViews>
    <sheetView zoomScale="85" zoomScaleNormal="85" workbookViewId="0">
      <selection activeCell="L15" sqref="L15"/>
    </sheetView>
  </sheetViews>
  <sheetFormatPr defaultRowHeight="16.5"/>
  <cols>
    <col min="1" max="2" width="9" customWidth="1"/>
    <col min="3" max="3" width="2.375" customWidth="1"/>
    <col min="8" max="8" width="8.875" hidden="1" customWidth="1"/>
    <col min="9" max="9" width="0" hidden="1" customWidth="1"/>
    <col min="10" max="10" width="8.875" customWidth="1"/>
    <col min="15" max="15" width="2.375" customWidth="1"/>
    <col min="16" max="17" width="9.375" bestFit="1" customWidth="1"/>
    <col min="18" max="18" width="10.375" bestFit="1" customWidth="1"/>
    <col min="19" max="20" width="9.375" customWidth="1"/>
    <col min="21" max="23" width="9.375" bestFit="1" customWidth="1"/>
    <col min="24" max="26" width="10.25" customWidth="1"/>
    <col min="27" max="27" width="15" customWidth="1"/>
    <col min="28" max="28" width="10.25" customWidth="1"/>
    <col min="29" max="29" width="13.75" customWidth="1"/>
    <col min="30" max="30" width="13.625" bestFit="1" customWidth="1"/>
    <col min="31" max="31" width="13.375" bestFit="1" customWidth="1"/>
  </cols>
  <sheetData>
    <row r="1" spans="1:30" ht="22.5" customHeight="1">
      <c r="A1" s="11" t="s">
        <v>28</v>
      </c>
      <c r="B1" s="11" t="s">
        <v>37</v>
      </c>
      <c r="C1" s="12"/>
      <c r="D1" s="13" t="s">
        <v>1</v>
      </c>
      <c r="E1" s="11" t="s">
        <v>21</v>
      </c>
      <c r="F1" s="13" t="s">
        <v>2</v>
      </c>
      <c r="G1" s="13" t="s">
        <v>3</v>
      </c>
      <c r="H1" s="13" t="s">
        <v>38</v>
      </c>
      <c r="I1" s="13" t="s">
        <v>39</v>
      </c>
      <c r="J1" s="11" t="s">
        <v>42</v>
      </c>
      <c r="K1" s="11" t="s">
        <v>43</v>
      </c>
      <c r="L1" s="11" t="s">
        <v>165</v>
      </c>
      <c r="M1" s="13" t="s">
        <v>19</v>
      </c>
      <c r="N1" s="13" t="s">
        <v>20</v>
      </c>
      <c r="O1" s="12"/>
      <c r="P1" s="14" t="s">
        <v>6</v>
      </c>
      <c r="Q1" s="14" t="s">
        <v>7</v>
      </c>
      <c r="R1" s="14" t="s">
        <v>8</v>
      </c>
      <c r="S1" s="14" t="s">
        <v>22</v>
      </c>
      <c r="T1" s="14" t="s">
        <v>23</v>
      </c>
      <c r="U1" s="14" t="s">
        <v>9</v>
      </c>
      <c r="V1" s="14" t="s">
        <v>10</v>
      </c>
      <c r="W1" s="14" t="s">
        <v>12</v>
      </c>
      <c r="X1" s="14" t="s">
        <v>13</v>
      </c>
      <c r="Y1" s="14" t="s">
        <v>14</v>
      </c>
      <c r="Z1" s="14" t="s">
        <v>15</v>
      </c>
      <c r="AA1" s="14" t="s">
        <v>16</v>
      </c>
      <c r="AB1" s="14" t="s">
        <v>40</v>
      </c>
      <c r="AC1" s="15"/>
    </row>
    <row r="2" spans="1:30" ht="22.5" customHeight="1">
      <c r="A2" s="11" t="s">
        <v>24</v>
      </c>
      <c r="B2" s="11" t="s">
        <v>4</v>
      </c>
      <c r="C2" s="12"/>
      <c r="D2" s="13" t="s">
        <v>0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44</v>
      </c>
      <c r="N2" s="13" t="s">
        <v>5</v>
      </c>
      <c r="O2" s="12"/>
      <c r="P2" s="13" t="s">
        <v>4</v>
      </c>
      <c r="Q2" s="13" t="s">
        <v>4</v>
      </c>
      <c r="R2" s="13"/>
      <c r="S2" s="13" t="s">
        <v>4</v>
      </c>
      <c r="T2" s="13" t="s">
        <v>4</v>
      </c>
      <c r="U2" s="13" t="s">
        <v>4</v>
      </c>
      <c r="V2" s="14" t="s">
        <v>11</v>
      </c>
      <c r="W2" s="13"/>
      <c r="X2" s="13" t="s">
        <v>18</v>
      </c>
      <c r="Y2" s="13" t="s">
        <v>18</v>
      </c>
      <c r="Z2" s="13" t="s">
        <v>18</v>
      </c>
      <c r="AA2" s="13" t="s">
        <v>17</v>
      </c>
      <c r="AB2" s="14" t="s">
        <v>4</v>
      </c>
      <c r="AC2" s="15"/>
    </row>
    <row r="3" spans="1:30">
      <c r="A3" s="7">
        <f>stiffener_C_shaped_weld!I30</f>
        <v>490</v>
      </c>
      <c r="B3" s="3">
        <v>-52.714500000000001</v>
      </c>
      <c r="D3" s="1">
        <v>1</v>
      </c>
      <c r="E3" s="2">
        <v>10</v>
      </c>
      <c r="F3" s="20">
        <v>15.79673</v>
      </c>
      <c r="G3" s="2">
        <f>F3/SQRT(2)</f>
        <v>11.169974903572971</v>
      </c>
      <c r="H3" s="20">
        <f t="shared" ref="H3:H12" si="0">(MAX($D$3:$D$14)-D3+0.5)*E3-$AB$3</f>
        <v>84.130434782608702</v>
      </c>
      <c r="I3" s="2">
        <f>(MAX(D17:D59)-MAX(D3:D14))*E17</f>
        <v>360</v>
      </c>
      <c r="J3" s="20">
        <f>H3-B3</f>
        <v>136.8449347826087</v>
      </c>
      <c r="K3" s="2">
        <f>I3</f>
        <v>360</v>
      </c>
      <c r="L3" s="2">
        <f>SQRT(J3^2+K3^2)</f>
        <v>385.1318425885562</v>
      </c>
      <c r="M3" s="2">
        <f>ABS(J3/K3)</f>
        <v>0.38012481884057975</v>
      </c>
      <c r="N3" s="2">
        <f>ATAN(M3)*180/PI()</f>
        <v>20.813039960933637</v>
      </c>
      <c r="P3" s="4">
        <f>0.209 * (N3+2)^-0.32 * F3</f>
        <v>1.2136539388398802</v>
      </c>
      <c r="Q3" s="4">
        <f>MIN(1.087*(N3+6)^-0.65 * F3, 0.17*F3)</f>
        <v>2.0247518443507624</v>
      </c>
      <c r="R3" s="4">
        <f>Q3/L3</f>
        <v>5.2572953478527192E-3</v>
      </c>
      <c r="S3" s="4">
        <f t="shared" ref="S3:S12" si="1">INDEX($Q$3:$Q$59, MATCH(MIN($R$3:$R$59),$R$3:$R$59,0))</f>
        <v>0.92643460463996641</v>
      </c>
      <c r="T3" s="2">
        <f t="shared" ref="T3:T12" si="2">INDEX($L$3:$L$59, MATCH(MIN($R$3:$R$59),$R$3:$R$59,0))</f>
        <v>357.45768779949435</v>
      </c>
      <c r="U3" s="6">
        <f>S3*L3/T3</f>
        <v>0.99815860310417304</v>
      </c>
      <c r="V3" s="4">
        <f>U3/P3</f>
        <v>0.82244087145492484</v>
      </c>
      <c r="W3" s="4">
        <f>POWER(V3*(1.9-0.9*V3),0.3)</f>
        <v>0.98593139925091811</v>
      </c>
      <c r="X3" s="3">
        <f>0.6*A3*G3*E3*(1+0.5*SIN(N3*PI()/180)^1.5)*W3/1000</f>
        <v>35.806541107070707</v>
      </c>
      <c r="Y3" s="8">
        <f>X3*COS(N3*PI()/180)</f>
        <v>33.469979298274929</v>
      </c>
      <c r="Z3" s="3">
        <f>X3*SIN(N3*PI()/180)</f>
        <v>12.722769817354711</v>
      </c>
      <c r="AA3" s="3">
        <f>L3*X3</f>
        <v>13790.239153289021</v>
      </c>
      <c r="AB3" s="3">
        <f>(MAX(D3:D14)*E3*G3*MAX(D3:D14)*E3/2)/(MAX(D3:D14)*E3*G3+I3*G3)</f>
        <v>10.869565217391301</v>
      </c>
      <c r="AC3" s="3"/>
      <c r="AD3" s="15"/>
    </row>
    <row r="4" spans="1:30">
      <c r="A4" s="7">
        <f>A3</f>
        <v>490</v>
      </c>
      <c r="B4" s="3">
        <f t="shared" ref="A4:B19" si="3">B3</f>
        <v>-52.714500000000001</v>
      </c>
      <c r="D4" s="1">
        <f>D3+1</f>
        <v>2</v>
      </c>
      <c r="E4" s="2">
        <f>E3</f>
        <v>10</v>
      </c>
      <c r="F4" s="2">
        <f>F3</f>
        <v>15.79673</v>
      </c>
      <c r="G4" s="2">
        <f t="shared" ref="G4:G38" si="4">F4/SQRT(2)</f>
        <v>11.169974903572971</v>
      </c>
      <c r="H4" s="20">
        <f t="shared" si="0"/>
        <v>74.130434782608702</v>
      </c>
      <c r="I4" s="2">
        <f>I3</f>
        <v>360</v>
      </c>
      <c r="J4" s="20">
        <f t="shared" ref="J4:J12" si="5">H4-B4</f>
        <v>126.8449347826087</v>
      </c>
      <c r="K4" s="2">
        <f>K3</f>
        <v>360</v>
      </c>
      <c r="L4" s="2">
        <f t="shared" ref="L4:L12" si="6">SQRT(J4^2+K4^2)</f>
        <v>381.6931195083352</v>
      </c>
      <c r="M4" s="2">
        <f t="shared" ref="M4:M12" si="7">ABS(J4/K4)</f>
        <v>0.35234704106280196</v>
      </c>
      <c r="N4" s="2">
        <f t="shared" ref="N4:N12" si="8">ATAN(M4)*180/PI()</f>
        <v>19.409758479502518</v>
      </c>
      <c r="P4" s="4">
        <f t="shared" ref="P4:P38" si="9">0.209 * (N4+2)^-0.32 * F4</f>
        <v>1.2385618976226234</v>
      </c>
      <c r="Q4" s="4">
        <f t="shared" ref="Q4:Q38" si="10">MIN(1.087*(N4+6)^-0.65 * F4, 0.17*F4)</f>
        <v>2.0967487373763163</v>
      </c>
      <c r="R4" s="4">
        <f t="shared" ref="R4:R38" si="11">Q4/L4</f>
        <v>5.4932840814033296E-3</v>
      </c>
      <c r="S4" s="4">
        <f t="shared" si="1"/>
        <v>0.92643460463996641</v>
      </c>
      <c r="T4" s="2">
        <f t="shared" si="2"/>
        <v>357.45768779949435</v>
      </c>
      <c r="U4" s="6">
        <f t="shared" ref="U4:U38" si="12">S4*L4/T4</f>
        <v>0.98924635372186898</v>
      </c>
      <c r="V4" s="4">
        <f t="shared" ref="V4:V38" si="13">U4/P4</f>
        <v>0.79870562433794634</v>
      </c>
      <c r="W4" s="4">
        <f t="shared" ref="W4:W38" si="14">POWER(V4*(1.9-0.9*V4),0.3)</f>
        <v>0.98267336957893814</v>
      </c>
      <c r="X4" s="3">
        <f t="shared" ref="X4:X38" si="15">0.6*A4*G4*E4*(1+0.5*SIN(N4*PI()/180)^1.5)*W4/1000</f>
        <v>35.361851898703897</v>
      </c>
      <c r="Y4" s="8">
        <f t="shared" ref="Y4:Y12" si="16">X4*COS(N4*PI()/180)</f>
        <v>33.352098932072593</v>
      </c>
      <c r="Z4" s="3">
        <f t="shared" ref="Z4:Z12" si="17">X4*SIN(N4*PI()/180)</f>
        <v>11.751513371949613</v>
      </c>
      <c r="AA4" s="3">
        <f t="shared" ref="AA4:AA38" si="18">L4*X4</f>
        <v>13497.375562808036</v>
      </c>
      <c r="AB4" s="3">
        <f>I3-(MAX(D3:D14)*E3*G3*G3/2+I3*G3*I3/2)/(MAX(D3:D14)*E3*G3+I3*G3)</f>
        <v>217.9163070756986</v>
      </c>
      <c r="AC4" s="3"/>
      <c r="AD4" s="15"/>
    </row>
    <row r="5" spans="1:30">
      <c r="A5" s="7">
        <f t="shared" si="3"/>
        <v>490</v>
      </c>
      <c r="B5" s="3">
        <f t="shared" si="3"/>
        <v>-52.714500000000001</v>
      </c>
      <c r="D5" s="1">
        <f t="shared" ref="D5:D12" si="19">D4+1</f>
        <v>3</v>
      </c>
      <c r="E5" s="2">
        <f t="shared" ref="E5:F20" si="20">E4</f>
        <v>10</v>
      </c>
      <c r="F5" s="2">
        <f t="shared" si="20"/>
        <v>15.79673</v>
      </c>
      <c r="G5" s="2">
        <f t="shared" si="4"/>
        <v>11.169974903572971</v>
      </c>
      <c r="H5" s="20">
        <f t="shared" si="0"/>
        <v>64.130434782608702</v>
      </c>
      <c r="I5" s="2">
        <f t="shared" ref="I5:K12" si="21">I4</f>
        <v>360</v>
      </c>
      <c r="J5" s="20">
        <f t="shared" si="5"/>
        <v>116.8449347826087</v>
      </c>
      <c r="K5" s="2">
        <f t="shared" si="21"/>
        <v>360</v>
      </c>
      <c r="L5" s="2">
        <f t="shared" si="6"/>
        <v>378.48743543789152</v>
      </c>
      <c r="M5" s="2">
        <f t="shared" si="7"/>
        <v>0.32456926328502417</v>
      </c>
      <c r="N5" s="2">
        <f t="shared" si="8"/>
        <v>17.981837110904753</v>
      </c>
      <c r="P5" s="4">
        <f t="shared" si="9"/>
        <v>1.2662228565942042</v>
      </c>
      <c r="Q5" s="4">
        <f t="shared" si="10"/>
        <v>2.1770737809956269</v>
      </c>
      <c r="R5" s="4">
        <f t="shared" si="11"/>
        <v>5.752037127670721E-3</v>
      </c>
      <c r="S5" s="4">
        <f t="shared" si="1"/>
        <v>0.92643460463996641</v>
      </c>
      <c r="T5" s="2">
        <f t="shared" si="2"/>
        <v>357.45768779949435</v>
      </c>
      <c r="U5" s="6">
        <f t="shared" si="12"/>
        <v>0.98093807904834163</v>
      </c>
      <c r="V5" s="4">
        <f t="shared" si="13"/>
        <v>0.77469623450551095</v>
      </c>
      <c r="W5" s="4">
        <f t="shared" si="14"/>
        <v>0.97902679183631358</v>
      </c>
      <c r="X5" s="3">
        <f t="shared" si="15"/>
        <v>34.908384329677212</v>
      </c>
      <c r="Y5" s="8">
        <f t="shared" si="16"/>
        <v>33.203264314822945</v>
      </c>
      <c r="Z5" s="3">
        <f t="shared" si="17"/>
        <v>10.776759037320017</v>
      </c>
      <c r="AA5" s="3">
        <f t="shared" si="18"/>
        <v>13212.384860219807</v>
      </c>
      <c r="AB5" s="3"/>
      <c r="AC5" s="3"/>
      <c r="AD5" s="15"/>
    </row>
    <row r="6" spans="1:30">
      <c r="A6" s="7">
        <f t="shared" si="3"/>
        <v>490</v>
      </c>
      <c r="B6" s="3">
        <f t="shared" si="3"/>
        <v>-52.714500000000001</v>
      </c>
      <c r="D6" s="1">
        <f t="shared" si="19"/>
        <v>4</v>
      </c>
      <c r="E6" s="2">
        <f t="shared" si="20"/>
        <v>10</v>
      </c>
      <c r="F6" s="2">
        <f t="shared" si="20"/>
        <v>15.79673</v>
      </c>
      <c r="G6" s="2">
        <f t="shared" si="4"/>
        <v>11.169974903572971</v>
      </c>
      <c r="H6" s="20">
        <f t="shared" si="0"/>
        <v>54.130434782608702</v>
      </c>
      <c r="I6" s="2">
        <f t="shared" si="21"/>
        <v>360</v>
      </c>
      <c r="J6" s="20">
        <f t="shared" si="5"/>
        <v>106.8449347826087</v>
      </c>
      <c r="K6" s="2">
        <f t="shared" si="21"/>
        <v>360</v>
      </c>
      <c r="L6" s="2">
        <f t="shared" si="6"/>
        <v>375.52075853233458</v>
      </c>
      <c r="M6" s="2">
        <f t="shared" si="7"/>
        <v>0.29679148550724638</v>
      </c>
      <c r="N6" s="2">
        <f t="shared" si="8"/>
        <v>16.530440298205406</v>
      </c>
      <c r="P6" s="4">
        <f t="shared" si="9"/>
        <v>1.2971495368870523</v>
      </c>
      <c r="Q6" s="4">
        <f t="shared" si="10"/>
        <v>2.2672345336170974</v>
      </c>
      <c r="R6" s="4">
        <f t="shared" si="11"/>
        <v>6.0375744405668456E-3</v>
      </c>
      <c r="S6" s="4">
        <f t="shared" si="1"/>
        <v>0.92643460463996641</v>
      </c>
      <c r="T6" s="2">
        <f t="shared" si="2"/>
        <v>357.45768779949435</v>
      </c>
      <c r="U6" s="6">
        <f t="shared" si="12"/>
        <v>0.97324924694344694</v>
      </c>
      <c r="V6" s="4">
        <f t="shared" si="13"/>
        <v>0.75029841916228623</v>
      </c>
      <c r="W6" s="4">
        <f t="shared" si="14"/>
        <v>0.97495027835472625</v>
      </c>
      <c r="X6" s="3">
        <f t="shared" si="15"/>
        <v>34.446684574123353</v>
      </c>
      <c r="Y6" s="8">
        <f t="shared" si="16"/>
        <v>33.022958558006387</v>
      </c>
      <c r="Z6" s="3">
        <f t="shared" si="17"/>
        <v>9.8009329262749496</v>
      </c>
      <c r="AA6" s="3">
        <f t="shared" si="18"/>
        <v>12935.44512019887</v>
      </c>
      <c r="AB6" s="3"/>
      <c r="AC6" s="3"/>
      <c r="AD6" s="15"/>
    </row>
    <row r="7" spans="1:30">
      <c r="A7" s="7">
        <f t="shared" si="3"/>
        <v>490</v>
      </c>
      <c r="B7" s="3">
        <f t="shared" si="3"/>
        <v>-52.714500000000001</v>
      </c>
      <c r="D7" s="1">
        <f t="shared" si="19"/>
        <v>5</v>
      </c>
      <c r="E7" s="2">
        <f t="shared" si="20"/>
        <v>10</v>
      </c>
      <c r="F7" s="2">
        <f t="shared" si="20"/>
        <v>15.79673</v>
      </c>
      <c r="G7" s="2">
        <f t="shared" si="4"/>
        <v>11.169974903572971</v>
      </c>
      <c r="H7" s="20">
        <f t="shared" si="0"/>
        <v>44.130434782608702</v>
      </c>
      <c r="I7" s="2">
        <f t="shared" si="21"/>
        <v>360</v>
      </c>
      <c r="J7" s="20">
        <f t="shared" si="5"/>
        <v>96.844934782608703</v>
      </c>
      <c r="K7" s="2">
        <f t="shared" si="21"/>
        <v>360</v>
      </c>
      <c r="L7" s="2">
        <f t="shared" si="6"/>
        <v>372.79879478486481</v>
      </c>
      <c r="M7" s="2">
        <f t="shared" si="7"/>
        <v>0.26901370772946864</v>
      </c>
      <c r="N7" s="2">
        <f t="shared" si="8"/>
        <v>15.056891369737643</v>
      </c>
      <c r="P7" s="4">
        <f t="shared" si="9"/>
        <v>1.3320039679006022</v>
      </c>
      <c r="Q7" s="4">
        <f t="shared" si="10"/>
        <v>2.369138620528016</v>
      </c>
      <c r="R7" s="4">
        <f t="shared" si="11"/>
        <v>6.355006115014941E-3</v>
      </c>
      <c r="S7" s="4">
        <f t="shared" si="1"/>
        <v>0.92643460463996641</v>
      </c>
      <c r="T7" s="2">
        <f t="shared" si="2"/>
        <v>357.45768779949435</v>
      </c>
      <c r="U7" s="6">
        <f t="shared" si="12"/>
        <v>0.96619464581357584</v>
      </c>
      <c r="V7" s="4">
        <f t="shared" si="13"/>
        <v>0.72536919491044338</v>
      </c>
      <c r="W7" s="4">
        <f t="shared" si="14"/>
        <v>0.97038749509295819</v>
      </c>
      <c r="X7" s="3">
        <f t="shared" si="15"/>
        <v>33.976948186978454</v>
      </c>
      <c r="Y7" s="8">
        <f t="shared" si="16"/>
        <v>32.810463763357738</v>
      </c>
      <c r="Z7" s="3">
        <f t="shared" si="17"/>
        <v>8.8264645093042393</v>
      </c>
      <c r="AA7" s="3">
        <f t="shared" si="18"/>
        <v>12666.565334573364</v>
      </c>
      <c r="AB7" s="3"/>
      <c r="AC7" s="3"/>
      <c r="AD7" s="15"/>
    </row>
    <row r="8" spans="1:30">
      <c r="A8" s="7">
        <f t="shared" si="3"/>
        <v>490</v>
      </c>
      <c r="B8" s="3">
        <f t="shared" si="3"/>
        <v>-52.714500000000001</v>
      </c>
      <c r="D8" s="1">
        <f t="shared" si="19"/>
        <v>6</v>
      </c>
      <c r="E8" s="2">
        <f t="shared" si="20"/>
        <v>10</v>
      </c>
      <c r="F8" s="2">
        <f t="shared" si="20"/>
        <v>15.79673</v>
      </c>
      <c r="G8" s="2">
        <f t="shared" si="4"/>
        <v>11.169974903572971</v>
      </c>
      <c r="H8" s="20">
        <f t="shared" si="0"/>
        <v>34.130434782608702</v>
      </c>
      <c r="I8" s="2">
        <f t="shared" si="21"/>
        <v>360</v>
      </c>
      <c r="J8" s="20">
        <f t="shared" si="5"/>
        <v>86.844934782608703</v>
      </c>
      <c r="K8" s="2">
        <f t="shared" si="21"/>
        <v>360</v>
      </c>
      <c r="L8" s="2">
        <f t="shared" si="6"/>
        <v>370.32694028033598</v>
      </c>
      <c r="M8" s="2">
        <f t="shared" si="7"/>
        <v>0.24123592995169085</v>
      </c>
      <c r="N8" s="2">
        <f t="shared" si="8"/>
        <v>13.562671331485918</v>
      </c>
      <c r="P8" s="4">
        <f t="shared" si="9"/>
        <v>1.3716602547112877</v>
      </c>
      <c r="Q8" s="4">
        <f t="shared" si="10"/>
        <v>2.48524057953678</v>
      </c>
      <c r="R8" s="4">
        <f t="shared" si="11"/>
        <v>6.7109364975053206E-3</v>
      </c>
      <c r="S8" s="4">
        <f t="shared" si="1"/>
        <v>0.92643460463996641</v>
      </c>
      <c r="T8" s="2">
        <f t="shared" si="2"/>
        <v>357.45768779949435</v>
      </c>
      <c r="U8" s="6">
        <f t="shared" si="12"/>
        <v>0.95978826086567337</v>
      </c>
      <c r="V8" s="4">
        <f t="shared" si="13"/>
        <v>0.69972739792456351</v>
      </c>
      <c r="W8" s="4">
        <f t="shared" si="14"/>
        <v>0.96526141680968403</v>
      </c>
      <c r="X8" s="3">
        <f t="shared" si="15"/>
        <v>33.498840887722224</v>
      </c>
      <c r="Y8" s="8">
        <f t="shared" si="16"/>
        <v>32.564691919121373</v>
      </c>
      <c r="Z8" s="3">
        <f t="shared" si="17"/>
        <v>7.8557737386995568</v>
      </c>
      <c r="AA8" s="3">
        <f t="shared" si="18"/>
        <v>12405.523248887985</v>
      </c>
      <c r="AB8" s="3"/>
      <c r="AC8" s="3"/>
      <c r="AD8" s="15"/>
    </row>
    <row r="9" spans="1:30">
      <c r="A9" s="7">
        <f t="shared" si="3"/>
        <v>490</v>
      </c>
      <c r="B9" s="3">
        <f t="shared" si="3"/>
        <v>-52.714500000000001</v>
      </c>
      <c r="D9" s="1">
        <f t="shared" si="19"/>
        <v>7</v>
      </c>
      <c r="E9" s="2">
        <f t="shared" si="20"/>
        <v>10</v>
      </c>
      <c r="F9" s="2">
        <f t="shared" si="20"/>
        <v>15.79673</v>
      </c>
      <c r="G9" s="2">
        <f t="shared" si="4"/>
        <v>11.169974903572971</v>
      </c>
      <c r="H9" s="20">
        <f t="shared" si="0"/>
        <v>24.130434782608699</v>
      </c>
      <c r="I9" s="2">
        <f t="shared" si="21"/>
        <v>360</v>
      </c>
      <c r="J9" s="20">
        <f t="shared" si="5"/>
        <v>76.844934782608703</v>
      </c>
      <c r="K9" s="2">
        <f t="shared" si="21"/>
        <v>360</v>
      </c>
      <c r="L9" s="2">
        <f t="shared" si="6"/>
        <v>368.11023349228338</v>
      </c>
      <c r="M9" s="2">
        <f t="shared" si="7"/>
        <v>0.21345815217391306</v>
      </c>
      <c r="N9" s="2">
        <f t="shared" si="8"/>
        <v>12.04941525249299</v>
      </c>
      <c r="P9" s="4">
        <f t="shared" si="9"/>
        <v>1.4173034413506993</v>
      </c>
      <c r="Q9" s="4">
        <f t="shared" si="10"/>
        <v>2.6187600106179598</v>
      </c>
      <c r="R9" s="4">
        <f t="shared" si="11"/>
        <v>7.1140646804997241E-3</v>
      </c>
      <c r="S9" s="4">
        <f t="shared" si="1"/>
        <v>0.92643460463996641</v>
      </c>
      <c r="T9" s="2">
        <f t="shared" si="2"/>
        <v>357.45768779949435</v>
      </c>
      <c r="U9" s="6">
        <f t="shared" si="12"/>
        <v>0.95404315047391097</v>
      </c>
      <c r="V9" s="4">
        <f t="shared" si="13"/>
        <v>0.67313965565814315</v>
      </c>
      <c r="W9" s="4">
        <f t="shared" si="14"/>
        <v>0.9594655487089816</v>
      </c>
      <c r="X9" s="3">
        <f t="shared" si="15"/>
        <v>33.011225950482384</v>
      </c>
      <c r="Y9" s="8">
        <f t="shared" si="16"/>
        <v>32.283920035118449</v>
      </c>
      <c r="Z9" s="3">
        <f t="shared" si="17"/>
        <v>6.8912659156267537</v>
      </c>
      <c r="AA9" s="3">
        <f t="shared" si="18"/>
        <v>12151.770092498595</v>
      </c>
      <c r="AB9" s="3"/>
      <c r="AC9" s="3"/>
      <c r="AD9" s="15"/>
    </row>
    <row r="10" spans="1:30">
      <c r="A10" s="7">
        <f t="shared" si="3"/>
        <v>490</v>
      </c>
      <c r="B10" s="3">
        <f t="shared" si="3"/>
        <v>-52.714500000000001</v>
      </c>
      <c r="D10" s="1">
        <f t="shared" si="19"/>
        <v>8</v>
      </c>
      <c r="E10" s="2">
        <f t="shared" si="20"/>
        <v>10</v>
      </c>
      <c r="F10" s="2">
        <f t="shared" si="20"/>
        <v>15.79673</v>
      </c>
      <c r="G10" s="2">
        <f t="shared" si="4"/>
        <v>11.169974903572971</v>
      </c>
      <c r="H10" s="20">
        <f t="shared" si="0"/>
        <v>14.130434782608699</v>
      </c>
      <c r="I10" s="2">
        <f t="shared" si="21"/>
        <v>360</v>
      </c>
      <c r="J10" s="20">
        <f t="shared" si="5"/>
        <v>66.844934782608703</v>
      </c>
      <c r="K10" s="2">
        <f t="shared" si="21"/>
        <v>360</v>
      </c>
      <c r="L10" s="2">
        <f t="shared" si="6"/>
        <v>366.15330847350157</v>
      </c>
      <c r="M10" s="2">
        <f t="shared" si="7"/>
        <v>0.1856803743961353</v>
      </c>
      <c r="N10" s="2">
        <f t="shared" si="8"/>
        <v>10.518906105656818</v>
      </c>
      <c r="P10" s="4">
        <f t="shared" si="9"/>
        <v>1.4705921351904718</v>
      </c>
      <c r="Q10" s="4">
        <f t="shared" si="10"/>
        <v>2.6854441000000002</v>
      </c>
      <c r="R10" s="4">
        <f t="shared" si="11"/>
        <v>7.3342068413792452E-3</v>
      </c>
      <c r="S10" s="4">
        <f t="shared" si="1"/>
        <v>0.92643460463996641</v>
      </c>
      <c r="T10" s="2">
        <f t="shared" si="2"/>
        <v>357.45768779949435</v>
      </c>
      <c r="U10" s="6">
        <f t="shared" si="12"/>
        <v>0.94897132486219793</v>
      </c>
      <c r="V10" s="4">
        <f t="shared" si="13"/>
        <v>0.64529878961938458</v>
      </c>
      <c r="W10" s="4">
        <f t="shared" si="14"/>
        <v>0.95284995629213454</v>
      </c>
      <c r="X10" s="3">
        <f t="shared" si="15"/>
        <v>32.511732149123752</v>
      </c>
      <c r="Y10" s="8">
        <f t="shared" si="16"/>
        <v>31.965363422440802</v>
      </c>
      <c r="Z10" s="3">
        <f t="shared" si="17"/>
        <v>5.9353406479873367</v>
      </c>
      <c r="AA10" s="3">
        <f t="shared" si="18"/>
        <v>11904.278290605967</v>
      </c>
      <c r="AB10" s="3"/>
      <c r="AC10" s="3"/>
      <c r="AD10" s="15"/>
    </row>
    <row r="11" spans="1:30">
      <c r="A11" s="7">
        <f t="shared" si="3"/>
        <v>490</v>
      </c>
      <c r="B11" s="3">
        <f t="shared" si="3"/>
        <v>-52.714500000000001</v>
      </c>
      <c r="D11" s="1">
        <f t="shared" si="19"/>
        <v>9</v>
      </c>
      <c r="E11" s="2">
        <f t="shared" si="20"/>
        <v>10</v>
      </c>
      <c r="F11" s="2">
        <f t="shared" si="20"/>
        <v>15.79673</v>
      </c>
      <c r="G11" s="2">
        <f t="shared" si="4"/>
        <v>11.169974903572971</v>
      </c>
      <c r="H11" s="20">
        <f t="shared" si="0"/>
        <v>4.1304347826086989</v>
      </c>
      <c r="I11" s="2">
        <f t="shared" si="21"/>
        <v>360</v>
      </c>
      <c r="J11" s="20">
        <f t="shared" si="5"/>
        <v>56.844934782608703</v>
      </c>
      <c r="K11" s="2">
        <f t="shared" si="21"/>
        <v>360</v>
      </c>
      <c r="L11" s="2">
        <f t="shared" si="6"/>
        <v>364.46034984678244</v>
      </c>
      <c r="M11" s="2">
        <f t="shared" si="7"/>
        <v>0.15790259661835751</v>
      </c>
      <c r="N11" s="2">
        <f t="shared" si="8"/>
        <v>8.9730659923497491</v>
      </c>
      <c r="P11" s="4">
        <f t="shared" si="9"/>
        <v>1.5339405355312281</v>
      </c>
      <c r="Q11" s="4">
        <f t="shared" si="10"/>
        <v>2.6854441000000002</v>
      </c>
      <c r="R11" s="4">
        <f t="shared" si="11"/>
        <v>7.3682750431671084E-3</v>
      </c>
      <c r="S11" s="4">
        <f t="shared" si="1"/>
        <v>0.92643460463996641</v>
      </c>
      <c r="T11" s="2">
        <f t="shared" si="2"/>
        <v>357.45768779949435</v>
      </c>
      <c r="U11" s="6">
        <f t="shared" si="12"/>
        <v>0.94458362945222796</v>
      </c>
      <c r="V11" s="4">
        <f t="shared" si="13"/>
        <v>0.61578894851038246</v>
      </c>
      <c r="W11" s="4">
        <f t="shared" si="14"/>
        <v>0.94519790639462342</v>
      </c>
      <c r="X11" s="3">
        <f t="shared" si="15"/>
        <v>31.996033021947174</v>
      </c>
      <c r="Y11" s="8">
        <f t="shared" si="16"/>
        <v>31.604458187957459</v>
      </c>
      <c r="Z11" s="3">
        <f t="shared" si="17"/>
        <v>4.9904260125947939</v>
      </c>
      <c r="AA11" s="3">
        <f t="shared" si="18"/>
        <v>11661.285388888071</v>
      </c>
      <c r="AB11" s="3"/>
      <c r="AC11" s="3"/>
      <c r="AD11" s="15"/>
    </row>
    <row r="12" spans="1:30">
      <c r="A12" s="7">
        <f t="shared" si="3"/>
        <v>490</v>
      </c>
      <c r="B12" s="3">
        <f t="shared" si="3"/>
        <v>-52.714500000000001</v>
      </c>
      <c r="D12" s="1">
        <f t="shared" si="19"/>
        <v>10</v>
      </c>
      <c r="E12" s="2">
        <f t="shared" si="20"/>
        <v>10</v>
      </c>
      <c r="F12" s="2">
        <f t="shared" si="20"/>
        <v>15.79673</v>
      </c>
      <c r="G12" s="2">
        <f t="shared" si="4"/>
        <v>11.169974903572971</v>
      </c>
      <c r="H12" s="20">
        <f t="shared" si="0"/>
        <v>-5.8695652173913011</v>
      </c>
      <c r="I12" s="2">
        <f t="shared" si="21"/>
        <v>360</v>
      </c>
      <c r="J12" s="20">
        <f t="shared" si="5"/>
        <v>46.844934782608703</v>
      </c>
      <c r="K12" s="2">
        <f t="shared" si="21"/>
        <v>360</v>
      </c>
      <c r="L12" s="2">
        <f t="shared" si="6"/>
        <v>363.03505053202076</v>
      </c>
      <c r="M12" s="2">
        <f t="shared" si="7"/>
        <v>0.13012481884057972</v>
      </c>
      <c r="N12" s="2">
        <f t="shared" si="8"/>
        <v>7.4139447557136888</v>
      </c>
      <c r="P12" s="4">
        <f t="shared" si="9"/>
        <v>1.6110408578750075</v>
      </c>
      <c r="Q12" s="4">
        <f t="shared" si="10"/>
        <v>2.6854441000000002</v>
      </c>
      <c r="R12" s="4">
        <f t="shared" si="11"/>
        <v>7.3972033721386807E-3</v>
      </c>
      <c r="S12" s="4">
        <f t="shared" si="1"/>
        <v>0.92643460463996641</v>
      </c>
      <c r="T12" s="2">
        <f t="shared" si="2"/>
        <v>357.45768779949435</v>
      </c>
      <c r="U12" s="6">
        <f t="shared" si="12"/>
        <v>0.94088963530345604</v>
      </c>
      <c r="V12" s="4">
        <f t="shared" si="13"/>
        <v>0.58402593000931502</v>
      </c>
      <c r="W12" s="4">
        <f t="shared" si="14"/>
        <v>0.93618433645830235</v>
      </c>
      <c r="X12" s="3">
        <f t="shared" si="15"/>
        <v>31.456565443343813</v>
      </c>
      <c r="Y12" s="8">
        <f t="shared" si="16"/>
        <v>31.193581840122985</v>
      </c>
      <c r="Z12" s="3">
        <f t="shared" si="17"/>
        <v>4.0590591859348013</v>
      </c>
      <c r="AA12" s="3">
        <f t="shared" si="18"/>
        <v>11419.835825288139</v>
      </c>
      <c r="AB12" s="3"/>
      <c r="AC12" s="3"/>
      <c r="AD12" s="15"/>
    </row>
    <row r="13" spans="1:30">
      <c r="A13" s="7"/>
      <c r="B13" s="3"/>
      <c r="D13" s="1"/>
      <c r="E13" s="2"/>
      <c r="F13" s="2"/>
      <c r="G13" s="2"/>
      <c r="H13" s="20"/>
      <c r="I13" s="2"/>
      <c r="J13" s="20"/>
      <c r="K13" s="2"/>
      <c r="L13" s="2"/>
      <c r="M13" s="2"/>
      <c r="N13" s="2"/>
      <c r="P13" s="4"/>
      <c r="Q13" s="4"/>
      <c r="R13" s="4"/>
      <c r="S13" s="4"/>
      <c r="T13" s="2"/>
      <c r="U13" s="6"/>
      <c r="V13" s="4"/>
      <c r="W13" s="4"/>
      <c r="X13" s="3"/>
      <c r="Y13" s="8"/>
      <c r="Z13" s="3"/>
      <c r="AA13" s="3"/>
      <c r="AB13" s="3"/>
      <c r="AC13" s="3"/>
      <c r="AD13" s="15"/>
    </row>
    <row r="14" spans="1:30">
      <c r="A14" s="7"/>
      <c r="B14" s="3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P14" s="4"/>
      <c r="Q14" s="4"/>
      <c r="R14" s="4"/>
      <c r="S14" s="4"/>
      <c r="T14" s="2"/>
      <c r="U14" s="6"/>
      <c r="V14" s="4"/>
      <c r="W14" s="4"/>
      <c r="X14" s="3"/>
      <c r="Y14" s="8"/>
      <c r="Z14" s="3"/>
      <c r="AA14" s="3"/>
      <c r="AB14" s="3"/>
      <c r="AC14" s="3"/>
      <c r="AD14" s="15"/>
    </row>
    <row r="15" spans="1:30" ht="22.5" customHeight="1">
      <c r="A15" s="11" t="s">
        <v>28</v>
      </c>
      <c r="B15" s="11" t="s">
        <v>37</v>
      </c>
      <c r="C15" s="12"/>
      <c r="D15" s="13" t="s">
        <v>1</v>
      </c>
      <c r="E15" s="11" t="s">
        <v>21</v>
      </c>
      <c r="F15" s="13" t="s">
        <v>2</v>
      </c>
      <c r="G15" s="13" t="s">
        <v>3</v>
      </c>
      <c r="H15" s="13" t="s">
        <v>38</v>
      </c>
      <c r="I15" s="13" t="s">
        <v>39</v>
      </c>
      <c r="J15" s="11" t="s">
        <v>42</v>
      </c>
      <c r="K15" s="11" t="s">
        <v>43</v>
      </c>
      <c r="L15" s="11" t="s">
        <v>165</v>
      </c>
      <c r="M15" s="13" t="s">
        <v>19</v>
      </c>
      <c r="N15" s="13" t="s">
        <v>20</v>
      </c>
      <c r="O15" s="12"/>
      <c r="P15" s="14" t="s">
        <v>6</v>
      </c>
      <c r="Q15" s="14" t="s">
        <v>7</v>
      </c>
      <c r="R15" s="14" t="s">
        <v>8</v>
      </c>
      <c r="S15" s="14" t="s">
        <v>22</v>
      </c>
      <c r="T15" s="14" t="s">
        <v>23</v>
      </c>
      <c r="U15" s="14" t="s">
        <v>9</v>
      </c>
      <c r="V15" s="14" t="s">
        <v>10</v>
      </c>
      <c r="W15" s="14" t="s">
        <v>12</v>
      </c>
      <c r="X15" s="14" t="s">
        <v>13</v>
      </c>
      <c r="Y15" s="14" t="s">
        <v>14</v>
      </c>
      <c r="Z15" s="14" t="s">
        <v>15</v>
      </c>
      <c r="AA15" s="14" t="s">
        <v>16</v>
      </c>
      <c r="AB15" s="14" t="s">
        <v>41</v>
      </c>
      <c r="AC15" s="14" t="s">
        <v>29</v>
      </c>
      <c r="AD15" s="14" t="s">
        <v>27</v>
      </c>
    </row>
    <row r="16" spans="1:30" ht="22.5" customHeight="1">
      <c r="A16" s="11" t="s">
        <v>24</v>
      </c>
      <c r="B16" s="11" t="s">
        <v>4</v>
      </c>
      <c r="C16" s="12"/>
      <c r="D16" s="13" t="s">
        <v>0</v>
      </c>
      <c r="E16" s="13" t="s">
        <v>4</v>
      </c>
      <c r="F16" s="13" t="s">
        <v>4</v>
      </c>
      <c r="G16" s="13" t="s">
        <v>4</v>
      </c>
      <c r="H16" s="13" t="s">
        <v>4</v>
      </c>
      <c r="I16" s="13" t="s">
        <v>4</v>
      </c>
      <c r="J16" s="13" t="s">
        <v>4</v>
      </c>
      <c r="K16" s="13" t="s">
        <v>4</v>
      </c>
      <c r="L16" s="13" t="s">
        <v>4</v>
      </c>
      <c r="M16" s="13" t="s">
        <v>45</v>
      </c>
      <c r="N16" s="13" t="s">
        <v>5</v>
      </c>
      <c r="O16" s="12"/>
      <c r="P16" s="13" t="s">
        <v>4</v>
      </c>
      <c r="Q16" s="13" t="s">
        <v>4</v>
      </c>
      <c r="R16" s="13"/>
      <c r="S16" s="13" t="s">
        <v>4</v>
      </c>
      <c r="T16" s="13" t="s">
        <v>4</v>
      </c>
      <c r="U16" s="13" t="s">
        <v>4</v>
      </c>
      <c r="V16" s="14" t="s">
        <v>11</v>
      </c>
      <c r="W16" s="13"/>
      <c r="X16" s="13" t="s">
        <v>18</v>
      </c>
      <c r="Y16" s="13" t="s">
        <v>18</v>
      </c>
      <c r="Z16" s="13" t="s">
        <v>18</v>
      </c>
      <c r="AA16" s="13" t="s">
        <v>17</v>
      </c>
      <c r="AB16" s="14" t="s">
        <v>4</v>
      </c>
      <c r="AC16" s="14" t="s">
        <v>18</v>
      </c>
      <c r="AD16" s="13" t="s">
        <v>17</v>
      </c>
    </row>
    <row r="17" spans="1:30">
      <c r="A17" s="7">
        <f>A3</f>
        <v>490</v>
      </c>
      <c r="B17" s="3">
        <f>B3</f>
        <v>-52.714500000000001</v>
      </c>
      <c r="D17" s="1">
        <f>MAX(D3:D14)+1</f>
        <v>11</v>
      </c>
      <c r="E17" s="2">
        <f>E3</f>
        <v>10</v>
      </c>
      <c r="F17" s="2">
        <f>F3</f>
        <v>15.79673</v>
      </c>
      <c r="G17" s="2">
        <f t="shared" si="4"/>
        <v>11.169974903572971</v>
      </c>
      <c r="H17" s="2">
        <f>-$AB$3</f>
        <v>-10.869565217391301</v>
      </c>
      <c r="I17" s="2">
        <f t="shared" ref="I17:I52" si="22">E17*(MAX($D$17:$D$59)-D17+0.5)</f>
        <v>355</v>
      </c>
      <c r="J17" s="20">
        <f t="shared" ref="J17:J38" si="23">H17-B17</f>
        <v>41.844934782608703</v>
      </c>
      <c r="K17" s="2">
        <f>I17</f>
        <v>355</v>
      </c>
      <c r="L17" s="2">
        <f t="shared" ref="L17:L38" si="24">SQRT(J17^2+K17^2)</f>
        <v>357.45768779949435</v>
      </c>
      <c r="M17" s="2">
        <f>IF(J17=0,"infinity",ABS(K17/J17))</f>
        <v>8.4837030298716734</v>
      </c>
      <c r="N17" s="2">
        <f>IF(J17=0,90,ATAN(M17)*180/PI())</f>
        <v>83.277391632346209</v>
      </c>
      <c r="P17" s="4">
        <f>0.209 * (ABS(N17)+2)^-0.32 * F17</f>
        <v>0.79587823963773874</v>
      </c>
      <c r="Q17" s="4">
        <f t="shared" si="10"/>
        <v>0.92643460463996641</v>
      </c>
      <c r="R17" s="4">
        <f t="shared" si="11"/>
        <v>2.5917322140785047E-3</v>
      </c>
      <c r="S17" s="4">
        <f t="shared" ref="S17:S52" si="25">INDEX($Q$3:$Q$59, MATCH(MIN($R$3:$R$59),$R$3:$R$59,0))</f>
        <v>0.92643460463996641</v>
      </c>
      <c r="T17" s="2">
        <f t="shared" ref="T17:T52" si="26">INDEX($L$3:$L$59, MATCH(MIN($R$3:$R$59),$R$3:$R$59,0))</f>
        <v>357.45768779949435</v>
      </c>
      <c r="U17" s="6">
        <f t="shared" si="12"/>
        <v>0.92643460463996652</v>
      </c>
      <c r="V17" s="4">
        <f t="shared" si="13"/>
        <v>1.1640406264426244</v>
      </c>
      <c r="W17" s="4">
        <f t="shared" si="14"/>
        <v>0.99764926023048039</v>
      </c>
      <c r="X17" s="3">
        <f t="shared" si="15"/>
        <v>48.975140361165401</v>
      </c>
      <c r="Y17" s="8">
        <f>X17*SIN(N17*PI()/180)</f>
        <v>48.638413500749756</v>
      </c>
      <c r="Z17" s="3">
        <f>X17*COS(N17*PI()/180)</f>
        <v>5.7331584249814833</v>
      </c>
      <c r="AA17" s="3">
        <f t="shared" si="18"/>
        <v>17506.540433157876</v>
      </c>
      <c r="AB17" s="3">
        <f>AD17/AC18+MAX($D$3:$D$14)*E3-AB3</f>
        <v>805.75793990256204</v>
      </c>
      <c r="AC17" s="3">
        <f>stiffener_C_shaped_weld!I87</f>
        <v>1136.150595594203</v>
      </c>
      <c r="AD17" s="3">
        <f>stiffener_C_shaped_weld!I85*1000/2</f>
        <v>272676.14294260874</v>
      </c>
    </row>
    <row r="18" spans="1:30">
      <c r="A18" s="7">
        <f t="shared" si="3"/>
        <v>490</v>
      </c>
      <c r="B18" s="3">
        <f t="shared" si="3"/>
        <v>-52.714500000000001</v>
      </c>
      <c r="D18" s="1">
        <f>D17+1</f>
        <v>12</v>
      </c>
      <c r="E18" s="2">
        <f t="shared" si="20"/>
        <v>10</v>
      </c>
      <c r="F18" s="2">
        <f t="shared" si="20"/>
        <v>15.79673</v>
      </c>
      <c r="G18" s="2">
        <f t="shared" si="4"/>
        <v>11.169974903572971</v>
      </c>
      <c r="H18" s="2">
        <f t="shared" ref="H18:H52" si="27">-$AB$3</f>
        <v>-10.869565217391301</v>
      </c>
      <c r="I18" s="2">
        <f t="shared" si="22"/>
        <v>345</v>
      </c>
      <c r="J18" s="20">
        <f t="shared" si="23"/>
        <v>41.844934782608703</v>
      </c>
      <c r="K18" s="2">
        <f t="shared" ref="K18:K38" si="28">I18</f>
        <v>345</v>
      </c>
      <c r="L18" s="2">
        <f t="shared" si="24"/>
        <v>347.52841404259419</v>
      </c>
      <c r="M18" s="2">
        <f t="shared" ref="M18:M38" si="29">IF(J18=0,"infinity",ABS(K18/J18))</f>
        <v>8.2447254797344431</v>
      </c>
      <c r="N18" s="2">
        <f t="shared" ref="N18:N38" si="30">IF(J18=0,90,ATAN(M18)*180/PI())</f>
        <v>83.084394263285219</v>
      </c>
      <c r="P18" s="4">
        <f t="shared" si="9"/>
        <v>0.79645548897647822</v>
      </c>
      <c r="Q18" s="4">
        <f t="shared" si="10"/>
        <v>0.92773871203603087</v>
      </c>
      <c r="R18" s="4">
        <f t="shared" si="11"/>
        <v>2.6695334094964801E-3</v>
      </c>
      <c r="S18" s="4">
        <f t="shared" si="25"/>
        <v>0.92643460463996641</v>
      </c>
      <c r="T18" s="2">
        <f t="shared" si="26"/>
        <v>357.45768779949435</v>
      </c>
      <c r="U18" s="6">
        <f t="shared" si="12"/>
        <v>0.90070058598180391</v>
      </c>
      <c r="V18" s="4">
        <f t="shared" si="13"/>
        <v>1.1308862810893432</v>
      </c>
      <c r="W18" s="4">
        <f t="shared" si="14"/>
        <v>0.99930058888895634</v>
      </c>
      <c r="X18" s="3">
        <f t="shared" si="15"/>
        <v>49.046396021268343</v>
      </c>
      <c r="Y18" s="8">
        <f t="shared" ref="Y18:Y38" si="31">X18*SIN(N18*PI()/180)</f>
        <v>48.689563050414883</v>
      </c>
      <c r="Z18" s="3">
        <f t="shared" ref="Z18:Z38" si="32">X18*COS(N18*PI()/180)</f>
        <v>5.9055408418502155</v>
      </c>
      <c r="AA18" s="3">
        <f t="shared" si="18"/>
        <v>17045.016223776391</v>
      </c>
      <c r="AB18" s="3"/>
      <c r="AC18" s="17">
        <f>stiffener_C_shaped_weld!I86</f>
        <v>380.49913099130436</v>
      </c>
      <c r="AD18" s="3"/>
    </row>
    <row r="19" spans="1:30">
      <c r="A19" s="7">
        <f t="shared" si="3"/>
        <v>490</v>
      </c>
      <c r="B19" s="3">
        <f t="shared" si="3"/>
        <v>-52.714500000000001</v>
      </c>
      <c r="D19" s="1">
        <f t="shared" ref="D19:D52" si="33">D18+1</f>
        <v>13</v>
      </c>
      <c r="E19" s="2">
        <f t="shared" si="20"/>
        <v>10</v>
      </c>
      <c r="F19" s="2">
        <f t="shared" si="20"/>
        <v>15.79673</v>
      </c>
      <c r="G19" s="2">
        <f t="shared" si="4"/>
        <v>11.169974903572971</v>
      </c>
      <c r="H19" s="2">
        <f t="shared" si="27"/>
        <v>-10.869565217391301</v>
      </c>
      <c r="I19" s="2">
        <f t="shared" si="22"/>
        <v>335</v>
      </c>
      <c r="J19" s="20">
        <f t="shared" si="23"/>
        <v>41.844934782608703</v>
      </c>
      <c r="K19" s="2">
        <f t="shared" si="28"/>
        <v>335</v>
      </c>
      <c r="L19" s="2">
        <f t="shared" si="24"/>
        <v>337.60331539687337</v>
      </c>
      <c r="M19" s="2">
        <f t="shared" si="29"/>
        <v>8.0057479295972129</v>
      </c>
      <c r="N19" s="2">
        <f t="shared" si="30"/>
        <v>82.880046717080162</v>
      </c>
      <c r="P19" s="4">
        <f t="shared" si="9"/>
        <v>0.79706857321152746</v>
      </c>
      <c r="Q19" s="4">
        <f t="shared" si="10"/>
        <v>0.92912460469980529</v>
      </c>
      <c r="R19" s="4">
        <f t="shared" si="11"/>
        <v>2.7521193137797313E-3</v>
      </c>
      <c r="S19" s="4">
        <f t="shared" si="25"/>
        <v>0.92643460463996641</v>
      </c>
      <c r="T19" s="2">
        <f t="shared" si="26"/>
        <v>357.45768779949435</v>
      </c>
      <c r="U19" s="6">
        <f t="shared" si="12"/>
        <v>0.87497738809378234</v>
      </c>
      <c r="V19" s="4">
        <f t="shared" si="13"/>
        <v>1.0977441809910367</v>
      </c>
      <c r="W19" s="4">
        <f t="shared" si="14"/>
        <v>1.0003526206143942</v>
      </c>
      <c r="X19" s="3">
        <f t="shared" si="15"/>
        <v>49.087334587065079</v>
      </c>
      <c r="Y19" s="8">
        <f t="shared" si="31"/>
        <v>48.708813973984732</v>
      </c>
      <c r="Z19" s="3">
        <f t="shared" si="32"/>
        <v>6.084230280834654</v>
      </c>
      <c r="AA19" s="3">
        <f t="shared" si="18"/>
        <v>16572.046900588783</v>
      </c>
      <c r="AB19" s="14" t="s">
        <v>36</v>
      </c>
      <c r="AC19" s="3"/>
      <c r="AD19" s="3"/>
    </row>
    <row r="20" spans="1:30">
      <c r="A20" s="7">
        <f t="shared" ref="A20:B35" si="34">A19</f>
        <v>490</v>
      </c>
      <c r="B20" s="3">
        <f t="shared" si="34"/>
        <v>-52.714500000000001</v>
      </c>
      <c r="D20" s="1">
        <f t="shared" si="33"/>
        <v>14</v>
      </c>
      <c r="E20" s="2">
        <f t="shared" si="20"/>
        <v>10</v>
      </c>
      <c r="F20" s="2">
        <f t="shared" si="20"/>
        <v>15.79673</v>
      </c>
      <c r="G20" s="2">
        <f t="shared" si="4"/>
        <v>11.169974903572971</v>
      </c>
      <c r="H20" s="2">
        <f t="shared" si="27"/>
        <v>-10.869565217391301</v>
      </c>
      <c r="I20" s="2">
        <f t="shared" si="22"/>
        <v>325</v>
      </c>
      <c r="J20" s="20">
        <f t="shared" si="23"/>
        <v>41.844934782608703</v>
      </c>
      <c r="K20" s="2">
        <f t="shared" si="28"/>
        <v>325</v>
      </c>
      <c r="L20" s="2">
        <f t="shared" si="24"/>
        <v>327.68277123913725</v>
      </c>
      <c r="M20" s="2">
        <f t="shared" si="29"/>
        <v>7.7667703794599818</v>
      </c>
      <c r="N20" s="2">
        <f t="shared" si="30"/>
        <v>82.66332309390485</v>
      </c>
      <c r="P20" s="4">
        <f t="shared" si="9"/>
        <v>0.79772092070549827</v>
      </c>
      <c r="Q20" s="4">
        <f t="shared" si="10"/>
        <v>0.93060018876357942</v>
      </c>
      <c r="R20" s="4">
        <f t="shared" si="11"/>
        <v>2.8399423785525893E-3</v>
      </c>
      <c r="S20" s="4">
        <f t="shared" si="25"/>
        <v>0.92643460463996641</v>
      </c>
      <c r="T20" s="2">
        <f t="shared" si="26"/>
        <v>357.45768779949435</v>
      </c>
      <c r="U20" s="6">
        <f t="shared" si="12"/>
        <v>0.84926599421898941</v>
      </c>
      <c r="V20" s="4">
        <f t="shared" si="13"/>
        <v>1.0646154214783599</v>
      </c>
      <c r="W20" s="4">
        <f t="shared" si="14"/>
        <v>1.0008104049257927</v>
      </c>
      <c r="X20" s="3">
        <f t="shared" si="15"/>
        <v>49.098113184622285</v>
      </c>
      <c r="Y20" s="8">
        <f t="shared" si="31"/>
        <v>48.696142078697143</v>
      </c>
      <c r="Z20" s="3">
        <f t="shared" si="32"/>
        <v>6.2698058136853208</v>
      </c>
      <c r="AA20" s="3">
        <f t="shared" si="18"/>
        <v>16088.605790949852</v>
      </c>
      <c r="AB20" s="14" t="s">
        <v>4</v>
      </c>
      <c r="AC20" s="3"/>
      <c r="AD20" s="3"/>
    </row>
    <row r="21" spans="1:30">
      <c r="A21" s="7">
        <f t="shared" si="34"/>
        <v>490</v>
      </c>
      <c r="B21" s="3">
        <f t="shared" si="34"/>
        <v>-52.714500000000001</v>
      </c>
      <c r="D21" s="1">
        <f t="shared" si="33"/>
        <v>15</v>
      </c>
      <c r="E21" s="2">
        <f t="shared" ref="E21:F36" si="35">E20</f>
        <v>10</v>
      </c>
      <c r="F21" s="2">
        <f t="shared" si="35"/>
        <v>15.79673</v>
      </c>
      <c r="G21" s="2">
        <f t="shared" si="4"/>
        <v>11.169974903572971</v>
      </c>
      <c r="H21" s="2">
        <f t="shared" si="27"/>
        <v>-10.869565217391301</v>
      </c>
      <c r="I21" s="2">
        <f t="shared" si="22"/>
        <v>315</v>
      </c>
      <c r="J21" s="20">
        <f t="shared" si="23"/>
        <v>41.844934782608703</v>
      </c>
      <c r="K21" s="2">
        <f t="shared" si="28"/>
        <v>315</v>
      </c>
      <c r="L21" s="2">
        <f t="shared" si="24"/>
        <v>317.76720813664957</v>
      </c>
      <c r="M21" s="2">
        <f t="shared" si="29"/>
        <v>7.5277928293227516</v>
      </c>
      <c r="N21" s="2">
        <f t="shared" si="30"/>
        <v>82.43307077617736</v>
      </c>
      <c r="P21" s="4">
        <f t="shared" si="9"/>
        <v>0.79841640950245885</v>
      </c>
      <c r="Q21" s="4">
        <f t="shared" si="10"/>
        <v>0.93217441845618909</v>
      </c>
      <c r="R21" s="4">
        <f t="shared" si="11"/>
        <v>2.9335135740479732E-3</v>
      </c>
      <c r="S21" s="4">
        <f t="shared" si="25"/>
        <v>0.92643460463996641</v>
      </c>
      <c r="T21" s="2">
        <f t="shared" si="26"/>
        <v>357.45768779949435</v>
      </c>
      <c r="U21" s="6">
        <f t="shared" si="12"/>
        <v>0.82356750990554384</v>
      </c>
      <c r="V21" s="4">
        <f t="shared" si="13"/>
        <v>1.0315012318180661</v>
      </c>
      <c r="W21" s="4">
        <f t="shared" si="14"/>
        <v>1.000676574295404</v>
      </c>
      <c r="X21" s="3">
        <f t="shared" si="15"/>
        <v>49.078756597150644</v>
      </c>
      <c r="Y21" s="8">
        <f t="shared" si="31"/>
        <v>48.651364685352505</v>
      </c>
      <c r="Z21" s="3">
        <f t="shared" si="32"/>
        <v>6.4628989915666413</v>
      </c>
      <c r="AA21" s="3">
        <f t="shared" si="18"/>
        <v>15595.619462694733</v>
      </c>
      <c r="AB21" s="3">
        <f>AB17-B3</f>
        <v>858.47243990256209</v>
      </c>
      <c r="AC21" s="3"/>
      <c r="AD21" s="3"/>
    </row>
    <row r="22" spans="1:30" hidden="1">
      <c r="A22" s="7">
        <f t="shared" si="34"/>
        <v>490</v>
      </c>
      <c r="B22" s="3">
        <f t="shared" si="34"/>
        <v>-52.714500000000001</v>
      </c>
      <c r="D22" s="1">
        <f t="shared" si="33"/>
        <v>16</v>
      </c>
      <c r="E22" s="2">
        <f t="shared" si="35"/>
        <v>10</v>
      </c>
      <c r="F22" s="2">
        <f t="shared" si="35"/>
        <v>15.79673</v>
      </c>
      <c r="G22" s="2">
        <f t="shared" si="4"/>
        <v>11.169974903572971</v>
      </c>
      <c r="H22" s="2">
        <f t="shared" si="27"/>
        <v>-10.869565217391301</v>
      </c>
      <c r="I22" s="2">
        <f t="shared" si="22"/>
        <v>305</v>
      </c>
      <c r="J22" s="20">
        <f t="shared" si="23"/>
        <v>41.844934782608703</v>
      </c>
      <c r="K22" s="2">
        <f t="shared" si="28"/>
        <v>305</v>
      </c>
      <c r="L22" s="2">
        <f t="shared" si="24"/>
        <v>307.8571073841901</v>
      </c>
      <c r="M22" s="2">
        <f t="shared" si="29"/>
        <v>7.2888152791855214</v>
      </c>
      <c r="N22" s="2">
        <f t="shared" si="30"/>
        <v>82.18799037118994</v>
      </c>
      <c r="P22" s="4">
        <f t="shared" si="9"/>
        <v>0.79915944320282717</v>
      </c>
      <c r="Q22" s="4">
        <f t="shared" si="10"/>
        <v>0.93385747489431403</v>
      </c>
      <c r="R22" s="4">
        <f t="shared" si="11"/>
        <v>3.0334121009228713E-3</v>
      </c>
      <c r="S22" s="4">
        <f t="shared" si="25"/>
        <v>0.92643460463996641</v>
      </c>
      <c r="T22" s="2">
        <f t="shared" si="26"/>
        <v>357.45768779949435</v>
      </c>
      <c r="U22" s="6">
        <f t="shared" si="12"/>
        <v>0.79788318254063095</v>
      </c>
      <c r="V22" s="4">
        <f t="shared" si="13"/>
        <v>0.99840299620676287</v>
      </c>
      <c r="W22" s="4">
        <f t="shared" si="14"/>
        <v>0.99995139851677295</v>
      </c>
      <c r="X22" s="3">
        <f t="shared" si="15"/>
        <v>49.029157514330919</v>
      </c>
      <c r="Y22" s="8">
        <f t="shared" si="31"/>
        <v>48.574136127411954</v>
      </c>
      <c r="Z22" s="3">
        <f t="shared" si="32"/>
        <v>6.6642018307315061</v>
      </c>
      <c r="AA22" s="3">
        <f t="shared" si="18"/>
        <v>15093.974609845745</v>
      </c>
      <c r="AB22" s="3"/>
      <c r="AC22" s="3"/>
      <c r="AD22" s="3"/>
    </row>
    <row r="23" spans="1:30" hidden="1">
      <c r="A23" s="7">
        <f t="shared" si="34"/>
        <v>490</v>
      </c>
      <c r="B23" s="3">
        <f t="shared" si="34"/>
        <v>-52.714500000000001</v>
      </c>
      <c r="D23" s="1">
        <f t="shared" si="33"/>
        <v>17</v>
      </c>
      <c r="E23" s="2">
        <f t="shared" si="35"/>
        <v>10</v>
      </c>
      <c r="F23" s="2">
        <f t="shared" si="35"/>
        <v>15.79673</v>
      </c>
      <c r="G23" s="2">
        <f t="shared" si="4"/>
        <v>11.169974903572971</v>
      </c>
      <c r="H23" s="2">
        <f t="shared" si="27"/>
        <v>-10.869565217391301</v>
      </c>
      <c r="I23" s="2">
        <f t="shared" si="22"/>
        <v>295</v>
      </c>
      <c r="J23" s="20">
        <f t="shared" si="23"/>
        <v>41.844934782608703</v>
      </c>
      <c r="K23" s="2">
        <f t="shared" si="28"/>
        <v>295</v>
      </c>
      <c r="L23" s="2">
        <f t="shared" si="24"/>
        <v>297.95301402563587</v>
      </c>
      <c r="M23" s="2">
        <f t="shared" si="29"/>
        <v>7.0498377290482912</v>
      </c>
      <c r="N23" s="2">
        <f t="shared" si="30"/>
        <v>81.926611747606486</v>
      </c>
      <c r="P23" s="4">
        <f t="shared" si="9"/>
        <v>0.7999550426623423</v>
      </c>
      <c r="Q23" s="4">
        <f t="shared" si="10"/>
        <v>0.9356609825854586</v>
      </c>
      <c r="R23" s="4">
        <f t="shared" si="11"/>
        <v>3.1402970889395144E-3</v>
      </c>
      <c r="S23" s="4">
        <f t="shared" si="25"/>
        <v>0.92643460463996641</v>
      </c>
      <c r="T23" s="2">
        <f t="shared" si="26"/>
        <v>357.45768779949435</v>
      </c>
      <c r="U23" s="6">
        <f t="shared" si="12"/>
        <v>0.77221442473202495</v>
      </c>
      <c r="V23" s="4">
        <f t="shared" si="13"/>
        <v>0.96532227881457766</v>
      </c>
      <c r="W23" s="4">
        <f t="shared" si="14"/>
        <v>0.99863280194689497</v>
      </c>
      <c r="X23" s="3">
        <f t="shared" si="15"/>
        <v>48.949074424302971</v>
      </c>
      <c r="Y23" s="8">
        <f t="shared" si="31"/>
        <v>48.463939867803987</v>
      </c>
      <c r="Z23" s="3">
        <f t="shared" si="32"/>
        <v>6.8744759426322979</v>
      </c>
      <c r="AA23" s="3">
        <f t="shared" si="18"/>
        <v>14584.524258486237</v>
      </c>
      <c r="AB23" s="3"/>
      <c r="AC23" s="3"/>
      <c r="AD23" s="3"/>
    </row>
    <row r="24" spans="1:30" hidden="1">
      <c r="A24" s="7">
        <f t="shared" si="34"/>
        <v>490</v>
      </c>
      <c r="B24" s="3">
        <f t="shared" si="34"/>
        <v>-52.714500000000001</v>
      </c>
      <c r="D24" s="1">
        <f t="shared" si="33"/>
        <v>18</v>
      </c>
      <c r="E24" s="2">
        <f t="shared" si="35"/>
        <v>10</v>
      </c>
      <c r="F24" s="2">
        <f t="shared" si="35"/>
        <v>15.79673</v>
      </c>
      <c r="G24" s="2">
        <f t="shared" si="4"/>
        <v>11.169974903572971</v>
      </c>
      <c r="H24" s="2">
        <f t="shared" si="27"/>
        <v>-10.869565217391301</v>
      </c>
      <c r="I24" s="2">
        <f t="shared" si="22"/>
        <v>285</v>
      </c>
      <c r="J24" s="20">
        <f t="shared" si="23"/>
        <v>41.844934782608703</v>
      </c>
      <c r="K24" s="2">
        <f t="shared" si="28"/>
        <v>285</v>
      </c>
      <c r="L24" s="2">
        <f t="shared" si="24"/>
        <v>288.05554771078573</v>
      </c>
      <c r="M24" s="2">
        <f t="shared" si="29"/>
        <v>6.810860178911061</v>
      </c>
      <c r="N24" s="2">
        <f t="shared" si="30"/>
        <v>81.64726525586434</v>
      </c>
      <c r="P24" s="4">
        <f t="shared" si="9"/>
        <v>0.80080895748456526</v>
      </c>
      <c r="Q24" s="4">
        <f t="shared" si="10"/>
        <v>0.93759827321408107</v>
      </c>
      <c r="R24" s="4">
        <f t="shared" si="11"/>
        <v>3.2549217700033706E-3</v>
      </c>
      <c r="S24" s="4">
        <f t="shared" si="25"/>
        <v>0.92643460463996641</v>
      </c>
      <c r="T24" s="2">
        <f t="shared" si="26"/>
        <v>357.45768779949435</v>
      </c>
      <c r="U24" s="6">
        <f t="shared" si="12"/>
        <v>0.74656284244607096</v>
      </c>
      <c r="V24" s="4">
        <f t="shared" si="13"/>
        <v>0.93226085381351409</v>
      </c>
      <c r="W24" s="4">
        <f t="shared" si="14"/>
        <v>0.99671634469027104</v>
      </c>
      <c r="X24" s="3">
        <f t="shared" si="15"/>
        <v>48.83812706457369</v>
      </c>
      <c r="Y24" s="8">
        <f t="shared" si="31"/>
        <v>48.320076888011741</v>
      </c>
      <c r="Z24" s="3">
        <f t="shared" si="32"/>
        <v>7.0945630388403087</v>
      </c>
      <c r="AA24" s="3">
        <f t="shared" si="18"/>
        <v>14068.093440754723</v>
      </c>
      <c r="AB24" s="3"/>
      <c r="AC24" s="3"/>
      <c r="AD24" s="3"/>
    </row>
    <row r="25" spans="1:30" hidden="1">
      <c r="A25" s="7">
        <f t="shared" si="34"/>
        <v>490</v>
      </c>
      <c r="B25" s="3">
        <f t="shared" si="34"/>
        <v>-52.714500000000001</v>
      </c>
      <c r="D25" s="1">
        <f t="shared" si="33"/>
        <v>19</v>
      </c>
      <c r="E25" s="2">
        <f t="shared" si="35"/>
        <v>10</v>
      </c>
      <c r="F25" s="2">
        <f t="shared" si="35"/>
        <v>15.79673</v>
      </c>
      <c r="G25" s="2">
        <f t="shared" si="4"/>
        <v>11.169974903572971</v>
      </c>
      <c r="H25" s="2">
        <f t="shared" si="27"/>
        <v>-10.869565217391301</v>
      </c>
      <c r="I25" s="2">
        <f t="shared" si="22"/>
        <v>275</v>
      </c>
      <c r="J25" s="20">
        <f t="shared" si="23"/>
        <v>41.844934782608703</v>
      </c>
      <c r="K25" s="2">
        <f t="shared" si="28"/>
        <v>275</v>
      </c>
      <c r="L25" s="2">
        <f t="shared" si="24"/>
        <v>278.1654158355434</v>
      </c>
      <c r="M25" s="2">
        <f t="shared" si="29"/>
        <v>6.5718826287738308</v>
      </c>
      <c r="N25" s="2">
        <f t="shared" si="30"/>
        <v>81.348046974162941</v>
      </c>
      <c r="P25" s="4">
        <f t="shared" si="9"/>
        <v>0.80172780245068143</v>
      </c>
      <c r="Q25" s="4">
        <f t="shared" si="10"/>
        <v>0.93968470914883495</v>
      </c>
      <c r="R25" s="4">
        <f t="shared" si="11"/>
        <v>3.378150753666639E-3</v>
      </c>
      <c r="S25" s="4">
        <f t="shared" si="25"/>
        <v>0.92643460463996641</v>
      </c>
      <c r="T25" s="2">
        <f t="shared" si="26"/>
        <v>357.45768779949435</v>
      </c>
      <c r="U25" s="6">
        <f t="shared" si="12"/>
        <v>0.72093026906352087</v>
      </c>
      <c r="V25" s="4">
        <f t="shared" si="13"/>
        <v>0.89922074157814824</v>
      </c>
      <c r="W25" s="4">
        <f t="shared" si="14"/>
        <v>0.99419516761778837</v>
      </c>
      <c r="X25" s="3">
        <f t="shared" si="15"/>
        <v>48.6957892497351</v>
      </c>
      <c r="Y25" s="8">
        <f t="shared" si="31"/>
        <v>48.141649828943386</v>
      </c>
      <c r="Z25" s="3">
        <f t="shared" si="32"/>
        <v>7.3253970815248</v>
      </c>
      <c r="AA25" s="3">
        <f t="shared" si="18"/>
        <v>13545.484466092548</v>
      </c>
      <c r="AB25" s="3"/>
      <c r="AC25" s="3"/>
      <c r="AD25" s="3"/>
    </row>
    <row r="26" spans="1:30" hidden="1">
      <c r="A26" s="7">
        <f t="shared" si="34"/>
        <v>490</v>
      </c>
      <c r="B26" s="3">
        <f t="shared" si="34"/>
        <v>-52.714500000000001</v>
      </c>
      <c r="D26" s="1">
        <f t="shared" si="33"/>
        <v>20</v>
      </c>
      <c r="E26" s="2">
        <f t="shared" si="35"/>
        <v>10</v>
      </c>
      <c r="F26" s="2">
        <f t="shared" si="35"/>
        <v>15.79673</v>
      </c>
      <c r="G26" s="2">
        <f t="shared" si="4"/>
        <v>11.169974903572971</v>
      </c>
      <c r="H26" s="2">
        <f t="shared" si="27"/>
        <v>-10.869565217391301</v>
      </c>
      <c r="I26" s="2">
        <f t="shared" si="22"/>
        <v>265</v>
      </c>
      <c r="J26" s="20">
        <f t="shared" si="23"/>
        <v>41.844934782608703</v>
      </c>
      <c r="K26" s="2">
        <f t="shared" si="28"/>
        <v>265</v>
      </c>
      <c r="L26" s="2">
        <f t="shared" si="24"/>
        <v>268.28342954226741</v>
      </c>
      <c r="M26" s="2">
        <f t="shared" si="29"/>
        <v>6.3329050786366006</v>
      </c>
      <c r="N26" s="2">
        <f t="shared" si="30"/>
        <v>81.026776495237399</v>
      </c>
      <c r="P26" s="4">
        <f t="shared" si="9"/>
        <v>0.80271922560847353</v>
      </c>
      <c r="Q26" s="4">
        <f t="shared" si="10"/>
        <v>0.94193808297349346</v>
      </c>
      <c r="R26" s="4">
        <f t="shared" si="11"/>
        <v>3.5109812207954252E-3</v>
      </c>
      <c r="S26" s="4">
        <f t="shared" si="25"/>
        <v>0.92643460463996641</v>
      </c>
      <c r="T26" s="2">
        <f t="shared" si="26"/>
        <v>357.45768779949435</v>
      </c>
      <c r="U26" s="6">
        <f t="shared" si="12"/>
        <v>0.69531880684815528</v>
      </c>
      <c r="V26" s="4">
        <f t="shared" si="13"/>
        <v>0.86620425257797073</v>
      </c>
      <c r="W26" s="4">
        <f t="shared" si="14"/>
        <v>0.99105989996943766</v>
      </c>
      <c r="X26" s="3">
        <f t="shared" si="15"/>
        <v>48.521378783283367</v>
      </c>
      <c r="Y26" s="8">
        <f t="shared" si="31"/>
        <v>47.927542150136105</v>
      </c>
      <c r="Z26" s="3">
        <f t="shared" si="32"/>
        <v>7.5680183983516045</v>
      </c>
      <c r="AA26" s="3">
        <f t="shared" si="18"/>
        <v>13017.481906098672</v>
      </c>
      <c r="AB26" s="3"/>
      <c r="AC26" s="3"/>
      <c r="AD26" s="3"/>
    </row>
    <row r="27" spans="1:30" hidden="1">
      <c r="A27" s="7">
        <f t="shared" si="34"/>
        <v>490</v>
      </c>
      <c r="B27" s="3">
        <f t="shared" si="34"/>
        <v>-52.714500000000001</v>
      </c>
      <c r="D27" s="1">
        <f t="shared" si="33"/>
        <v>21</v>
      </c>
      <c r="E27" s="2">
        <f t="shared" si="35"/>
        <v>10</v>
      </c>
      <c r="F27" s="2">
        <f t="shared" si="35"/>
        <v>15.79673</v>
      </c>
      <c r="G27" s="2">
        <f t="shared" si="4"/>
        <v>11.169974903572971</v>
      </c>
      <c r="H27" s="2">
        <f t="shared" si="27"/>
        <v>-10.869565217391301</v>
      </c>
      <c r="I27" s="2">
        <f t="shared" si="22"/>
        <v>255</v>
      </c>
      <c r="J27" s="20">
        <f t="shared" si="23"/>
        <v>41.844934782608703</v>
      </c>
      <c r="K27" s="2">
        <f t="shared" si="28"/>
        <v>255</v>
      </c>
      <c r="L27" s="2">
        <f t="shared" si="24"/>
        <v>258.41052332859971</v>
      </c>
      <c r="M27" s="2">
        <f t="shared" si="29"/>
        <v>6.0939275284993704</v>
      </c>
      <c r="N27" s="2">
        <f t="shared" si="30"/>
        <v>80.680945336533441</v>
      </c>
      <c r="P27" s="4">
        <f t="shared" si="9"/>
        <v>0.8037921168836476</v>
      </c>
      <c r="Q27" s="4">
        <f t="shared" si="10"/>
        <v>0.94437911460661528</v>
      </c>
      <c r="R27" s="4">
        <f t="shared" si="11"/>
        <v>3.6545691036186049E-3</v>
      </c>
      <c r="S27" s="4">
        <f t="shared" si="25"/>
        <v>0.92643460463996641</v>
      </c>
      <c r="T27" s="2">
        <f t="shared" si="26"/>
        <v>357.45768779949435</v>
      </c>
      <c r="U27" s="6">
        <f t="shared" si="12"/>
        <v>0.66973087776761686</v>
      </c>
      <c r="V27" s="4">
        <f t="shared" si="13"/>
        <v>0.83321404091919371</v>
      </c>
      <c r="W27" s="4">
        <f t="shared" si="14"/>
        <v>0.98729852712006572</v>
      </c>
      <c r="X27" s="3">
        <f t="shared" si="15"/>
        <v>48.314044029930962</v>
      </c>
      <c r="Y27" s="8">
        <f t="shared" si="31"/>
        <v>47.67639130534149</v>
      </c>
      <c r="Z27" s="3">
        <f t="shared" si="32"/>
        <v>7.8235901366358584</v>
      </c>
      <c r="AA27" s="3">
        <f t="shared" si="18"/>
        <v>12484.857401895468</v>
      </c>
      <c r="AB27" s="3"/>
      <c r="AC27" s="3"/>
      <c r="AD27" s="3"/>
    </row>
    <row r="28" spans="1:30" hidden="1">
      <c r="A28" s="7">
        <f t="shared" si="34"/>
        <v>490</v>
      </c>
      <c r="B28" s="3">
        <f t="shared" si="34"/>
        <v>-52.714500000000001</v>
      </c>
      <c r="D28" s="1">
        <f t="shared" si="33"/>
        <v>22</v>
      </c>
      <c r="E28" s="2">
        <f t="shared" si="35"/>
        <v>10</v>
      </c>
      <c r="F28" s="2">
        <f t="shared" si="35"/>
        <v>15.79673</v>
      </c>
      <c r="G28" s="2">
        <f t="shared" si="4"/>
        <v>11.169974903572971</v>
      </c>
      <c r="H28" s="2">
        <f t="shared" si="27"/>
        <v>-10.869565217391301</v>
      </c>
      <c r="I28" s="2">
        <f t="shared" si="22"/>
        <v>245</v>
      </c>
      <c r="J28" s="20">
        <f t="shared" si="23"/>
        <v>41.844934782608703</v>
      </c>
      <c r="K28" s="2">
        <f t="shared" si="28"/>
        <v>245</v>
      </c>
      <c r="L28" s="2">
        <f t="shared" si="24"/>
        <v>248.54777924367133</v>
      </c>
      <c r="M28" s="2">
        <f t="shared" si="29"/>
        <v>5.8549499783621402</v>
      </c>
      <c r="N28" s="2">
        <f t="shared" si="30"/>
        <v>80.30765347851613</v>
      </c>
      <c r="P28" s="4">
        <f t="shared" si="9"/>
        <v>0.80495686901247498</v>
      </c>
      <c r="Q28" s="4">
        <f t="shared" si="10"/>
        <v>0.94703207481720486</v>
      </c>
      <c r="R28" s="4">
        <f t="shared" si="11"/>
        <v>3.8102616635683289E-3</v>
      </c>
      <c r="S28" s="4">
        <f t="shared" si="25"/>
        <v>0.92643460463996641</v>
      </c>
      <c r="T28" s="2">
        <f t="shared" si="26"/>
        <v>357.45768779949435</v>
      </c>
      <c r="U28" s="6">
        <f t="shared" si="12"/>
        <v>0.64416928620349567</v>
      </c>
      <c r="V28" s="4">
        <f t="shared" si="13"/>
        <v>0.80025317007824992</v>
      </c>
      <c r="W28" s="4">
        <f t="shared" si="14"/>
        <v>0.98289621483820744</v>
      </c>
      <c r="X28" s="3">
        <f t="shared" si="15"/>
        <v>48.072746563470517</v>
      </c>
      <c r="Y28" s="8">
        <f t="shared" si="31"/>
        <v>47.386554584756645</v>
      </c>
      <c r="Z28" s="3">
        <f t="shared" si="32"/>
        <v>8.0934174945782384</v>
      </c>
      <c r="AA28" s="3">
        <f t="shared" si="18"/>
        <v>11948.374400494429</v>
      </c>
      <c r="AB28" s="3"/>
      <c r="AC28" s="3"/>
      <c r="AD28" s="3"/>
    </row>
    <row r="29" spans="1:30" hidden="1">
      <c r="A29" s="7">
        <f t="shared" si="34"/>
        <v>490</v>
      </c>
      <c r="B29" s="3">
        <f t="shared" si="34"/>
        <v>-52.714500000000001</v>
      </c>
      <c r="D29" s="1">
        <f t="shared" si="33"/>
        <v>23</v>
      </c>
      <c r="E29" s="2">
        <f t="shared" si="35"/>
        <v>10</v>
      </c>
      <c r="F29" s="2">
        <f t="shared" si="35"/>
        <v>15.79673</v>
      </c>
      <c r="G29" s="2">
        <f t="shared" si="4"/>
        <v>11.169974903572971</v>
      </c>
      <c r="H29" s="2">
        <f t="shared" si="27"/>
        <v>-10.869565217391301</v>
      </c>
      <c r="I29" s="2">
        <f t="shared" si="22"/>
        <v>235</v>
      </c>
      <c r="J29" s="20">
        <f t="shared" si="23"/>
        <v>41.844934782608703</v>
      </c>
      <c r="K29" s="2">
        <f t="shared" si="28"/>
        <v>235</v>
      </c>
      <c r="L29" s="2">
        <f t="shared" si="24"/>
        <v>238.69645696356864</v>
      </c>
      <c r="M29" s="2">
        <f t="shared" si="29"/>
        <v>5.6159724282249099</v>
      </c>
      <c r="N29" s="2">
        <f t="shared" si="30"/>
        <v>79.903530757157682</v>
      </c>
      <c r="P29" s="4">
        <f t="shared" si="9"/>
        <v>0.80622570666444904</v>
      </c>
      <c r="Q29" s="4">
        <f t="shared" si="10"/>
        <v>0.94992557402410105</v>
      </c>
      <c r="R29" s="4">
        <f t="shared" si="11"/>
        <v>3.979638349508827E-3</v>
      </c>
      <c r="S29" s="4">
        <f t="shared" si="25"/>
        <v>0.92643460463996641</v>
      </c>
      <c r="T29" s="2">
        <f t="shared" si="26"/>
        <v>357.45768779949435</v>
      </c>
      <c r="U29" s="6">
        <f t="shared" si="12"/>
        <v>0.61863729689888425</v>
      </c>
      <c r="V29" s="4">
        <f t="shared" si="13"/>
        <v>0.76732519415479383</v>
      </c>
      <c r="W29" s="4">
        <f t="shared" si="14"/>
        <v>0.97783508498740512</v>
      </c>
      <c r="X29" s="3">
        <f t="shared" si="15"/>
        <v>47.79623910010249</v>
      </c>
      <c r="Y29" s="8">
        <f t="shared" si="31"/>
        <v>47.056065814325855</v>
      </c>
      <c r="Z29" s="3">
        <f t="shared" si="32"/>
        <v>8.378970234581308</v>
      </c>
      <c r="AA29" s="3">
        <f t="shared" si="18"/>
        <v>11408.792929378051</v>
      </c>
      <c r="AB29" s="3"/>
      <c r="AC29" s="3"/>
      <c r="AD29" s="3"/>
    </row>
    <row r="30" spans="1:30" hidden="1">
      <c r="A30" s="7">
        <f t="shared" si="34"/>
        <v>490</v>
      </c>
      <c r="B30" s="3">
        <f t="shared" si="34"/>
        <v>-52.714500000000001</v>
      </c>
      <c r="D30" s="1">
        <f t="shared" si="33"/>
        <v>24</v>
      </c>
      <c r="E30" s="2">
        <f t="shared" si="35"/>
        <v>10</v>
      </c>
      <c r="F30" s="2">
        <f t="shared" si="35"/>
        <v>15.79673</v>
      </c>
      <c r="G30" s="2">
        <f t="shared" si="4"/>
        <v>11.169974903572971</v>
      </c>
      <c r="H30" s="2">
        <f t="shared" si="27"/>
        <v>-10.869565217391301</v>
      </c>
      <c r="I30" s="2">
        <f t="shared" si="22"/>
        <v>225</v>
      </c>
      <c r="J30" s="20">
        <f t="shared" si="23"/>
        <v>41.844934782608703</v>
      </c>
      <c r="K30" s="2">
        <f t="shared" si="28"/>
        <v>225</v>
      </c>
      <c r="L30" s="2">
        <f t="shared" si="24"/>
        <v>228.85803146702276</v>
      </c>
      <c r="M30" s="2">
        <f t="shared" si="29"/>
        <v>5.3769948780876797</v>
      </c>
      <c r="N30" s="2">
        <f t="shared" si="30"/>
        <v>79.464638777866284</v>
      </c>
      <c r="P30" s="4">
        <f t="shared" si="9"/>
        <v>0.80761310533240349</v>
      </c>
      <c r="Q30" s="4">
        <f t="shared" si="10"/>
        <v>0.95309356946922474</v>
      </c>
      <c r="R30" s="4">
        <f t="shared" si="11"/>
        <v>4.1645624728995391E-3</v>
      </c>
      <c r="S30" s="4">
        <f t="shared" si="25"/>
        <v>0.92643460463996641</v>
      </c>
      <c r="T30" s="2">
        <f t="shared" si="26"/>
        <v>357.45768779949435</v>
      </c>
      <c r="U30" s="6">
        <f t="shared" si="12"/>
        <v>0.593138732603675</v>
      </c>
      <c r="V30" s="4">
        <f t="shared" si="13"/>
        <v>0.73443425903737225</v>
      </c>
      <c r="W30" s="4">
        <f t="shared" si="14"/>
        <v>0.97209393605608119</v>
      </c>
      <c r="X30" s="3">
        <f t="shared" si="15"/>
        <v>47.483037659953744</v>
      </c>
      <c r="Y30" s="8">
        <f t="shared" si="31"/>
        <v>46.682580484526518</v>
      </c>
      <c r="Z30" s="3">
        <f t="shared" si="32"/>
        <v>8.6819090482617494</v>
      </c>
      <c r="AA30" s="3">
        <f t="shared" si="18"/>
        <v>10866.87452693152</v>
      </c>
      <c r="AB30" s="3"/>
      <c r="AC30" s="3"/>
      <c r="AD30" s="3"/>
    </row>
    <row r="31" spans="1:30" hidden="1">
      <c r="A31" s="7">
        <f t="shared" si="34"/>
        <v>490</v>
      </c>
      <c r="B31" s="3">
        <f t="shared" si="34"/>
        <v>-52.714500000000001</v>
      </c>
      <c r="D31" s="1">
        <f t="shared" si="33"/>
        <v>25</v>
      </c>
      <c r="E31" s="2">
        <f t="shared" si="35"/>
        <v>10</v>
      </c>
      <c r="F31" s="2">
        <f t="shared" si="35"/>
        <v>15.79673</v>
      </c>
      <c r="G31" s="2">
        <f t="shared" si="4"/>
        <v>11.169974903572971</v>
      </c>
      <c r="H31" s="2">
        <f t="shared" si="27"/>
        <v>-10.869565217391301</v>
      </c>
      <c r="I31" s="2">
        <f t="shared" si="22"/>
        <v>215</v>
      </c>
      <c r="J31" s="20">
        <f t="shared" si="23"/>
        <v>41.844934782608703</v>
      </c>
      <c r="K31" s="2">
        <f t="shared" si="28"/>
        <v>215</v>
      </c>
      <c r="L31" s="2">
        <f t="shared" si="24"/>
        <v>219.03424062680423</v>
      </c>
      <c r="M31" s="2">
        <f t="shared" si="29"/>
        <v>5.1380173279504495</v>
      </c>
      <c r="N31" s="2">
        <f t="shared" si="30"/>
        <v>78.986347564827099</v>
      </c>
      <c r="P31" s="4">
        <f t="shared" si="9"/>
        <v>0.80913632967753868</v>
      </c>
      <c r="Q31" s="4">
        <f t="shared" si="10"/>
        <v>0.9565766641274559</v>
      </c>
      <c r="R31" s="4">
        <f t="shared" si="11"/>
        <v>4.3672471545546801E-3</v>
      </c>
      <c r="S31" s="4">
        <f t="shared" si="25"/>
        <v>0.92643460463996641</v>
      </c>
      <c r="T31" s="2">
        <f t="shared" si="26"/>
        <v>357.45768779949435</v>
      </c>
      <c r="U31" s="6">
        <f t="shared" si="12"/>
        <v>0.56767809741871134</v>
      </c>
      <c r="V31" s="4">
        <f t="shared" si="13"/>
        <v>0.70158522933328848</v>
      </c>
      <c r="W31" s="4">
        <f t="shared" si="14"/>
        <v>0.96564790010815404</v>
      </c>
      <c r="X31" s="3">
        <f t="shared" si="15"/>
        <v>47.131386544894568</v>
      </c>
      <c r="Y31" s="8">
        <f t="shared" si="31"/>
        <v>46.263306039066293</v>
      </c>
      <c r="Z31" s="3">
        <f t="shared" si="32"/>
        <v>9.0041163908492745</v>
      </c>
      <c r="AA31" s="3">
        <f t="shared" si="18"/>
        <v>10323.387461549361</v>
      </c>
      <c r="AB31" s="3"/>
      <c r="AC31" s="3"/>
      <c r="AD31" s="3"/>
    </row>
    <row r="32" spans="1:30" hidden="1">
      <c r="A32" s="7">
        <f t="shared" si="34"/>
        <v>490</v>
      </c>
      <c r="B32" s="3">
        <f t="shared" si="34"/>
        <v>-52.714500000000001</v>
      </c>
      <c r="D32" s="1">
        <f t="shared" si="33"/>
        <v>26</v>
      </c>
      <c r="E32" s="2">
        <f t="shared" si="35"/>
        <v>10</v>
      </c>
      <c r="F32" s="2">
        <f t="shared" si="35"/>
        <v>15.79673</v>
      </c>
      <c r="G32" s="2">
        <f t="shared" si="4"/>
        <v>11.169974903572971</v>
      </c>
      <c r="H32" s="2">
        <f t="shared" si="27"/>
        <v>-10.869565217391301</v>
      </c>
      <c r="I32" s="2">
        <f t="shared" si="22"/>
        <v>205</v>
      </c>
      <c r="J32" s="20">
        <f t="shared" si="23"/>
        <v>41.844934782608703</v>
      </c>
      <c r="K32" s="2">
        <f t="shared" si="28"/>
        <v>205</v>
      </c>
      <c r="L32" s="2">
        <f t="shared" si="24"/>
        <v>209.22714586535079</v>
      </c>
      <c r="M32" s="2">
        <f t="shared" si="29"/>
        <v>4.8990397778132193</v>
      </c>
      <c r="N32" s="2">
        <f t="shared" si="30"/>
        <v>78.46317914520327</v>
      </c>
      <c r="P32" s="4">
        <f t="shared" si="9"/>
        <v>0.81081613269619635</v>
      </c>
      <c r="Q32" s="4">
        <f t="shared" si="10"/>
        <v>0.96042380006228989</v>
      </c>
      <c r="R32" s="4">
        <f t="shared" si="11"/>
        <v>4.5903403025933142E-3</v>
      </c>
      <c r="S32" s="4">
        <f t="shared" si="25"/>
        <v>0.92643460463996641</v>
      </c>
      <c r="T32" s="2">
        <f t="shared" si="26"/>
        <v>357.45768779949435</v>
      </c>
      <c r="U32" s="6">
        <f t="shared" si="12"/>
        <v>0.54226073399893193</v>
      </c>
      <c r="V32" s="4">
        <f t="shared" si="13"/>
        <v>0.66878384892979292</v>
      </c>
      <c r="W32" s="4">
        <f t="shared" si="14"/>
        <v>0.95846802568495293</v>
      </c>
      <c r="X32" s="3">
        <f t="shared" si="15"/>
        <v>46.739214242770274</v>
      </c>
      <c r="Y32" s="8">
        <f t="shared" si="31"/>
        <v>45.794912893062907</v>
      </c>
      <c r="Z32" s="3">
        <f t="shared" si="32"/>
        <v>9.3477324067583627</v>
      </c>
      <c r="AA32" s="3">
        <f t="shared" si="18"/>
        <v>9779.1123960039768</v>
      </c>
      <c r="AB32" s="3"/>
      <c r="AC32" s="3"/>
      <c r="AD32" s="3"/>
    </row>
    <row r="33" spans="1:30" hidden="1">
      <c r="A33" s="7">
        <f t="shared" si="34"/>
        <v>490</v>
      </c>
      <c r="B33" s="3">
        <f t="shared" si="34"/>
        <v>-52.714500000000001</v>
      </c>
      <c r="D33" s="1">
        <f t="shared" si="33"/>
        <v>27</v>
      </c>
      <c r="E33" s="2">
        <f t="shared" si="35"/>
        <v>10</v>
      </c>
      <c r="F33" s="2">
        <f t="shared" si="35"/>
        <v>15.79673</v>
      </c>
      <c r="G33" s="2">
        <f t="shared" si="4"/>
        <v>11.169974903572971</v>
      </c>
      <c r="H33" s="2">
        <f t="shared" si="27"/>
        <v>-10.869565217391301</v>
      </c>
      <c r="I33" s="2">
        <f t="shared" si="22"/>
        <v>195</v>
      </c>
      <c r="J33" s="20">
        <f t="shared" si="23"/>
        <v>41.844934782608703</v>
      </c>
      <c r="K33" s="2">
        <f t="shared" si="28"/>
        <v>195</v>
      </c>
      <c r="L33" s="2">
        <f t="shared" si="24"/>
        <v>199.43921020441488</v>
      </c>
      <c r="M33" s="2">
        <f t="shared" si="29"/>
        <v>4.6600622276759891</v>
      </c>
      <c r="N33" s="2">
        <f t="shared" si="30"/>
        <v>77.888607446491207</v>
      </c>
      <c r="P33" s="4">
        <f t="shared" si="9"/>
        <v>0.8126776741437135</v>
      </c>
      <c r="Q33" s="4">
        <f t="shared" si="10"/>
        <v>0.96469449206653746</v>
      </c>
      <c r="R33" s="4">
        <f t="shared" si="11"/>
        <v>4.8370352604072964E-3</v>
      </c>
      <c r="S33" s="4">
        <f t="shared" si="25"/>
        <v>0.92643460463996641</v>
      </c>
      <c r="T33" s="2">
        <f t="shared" si="26"/>
        <v>357.45768779949435</v>
      </c>
      <c r="U33" s="6">
        <f t="shared" si="12"/>
        <v>0.51689302583715646</v>
      </c>
      <c r="V33" s="4">
        <f t="shared" si="13"/>
        <v>0.63603694586760529</v>
      </c>
      <c r="W33" s="4">
        <f t="shared" si="14"/>
        <v>0.95052077384953004</v>
      </c>
      <c r="X33" s="3">
        <f t="shared" si="15"/>
        <v>46.304077715346899</v>
      </c>
      <c r="Y33" s="8">
        <f t="shared" si="31"/>
        <v>45.273420132571154</v>
      </c>
      <c r="Z33" s="3">
        <f t="shared" si="32"/>
        <v>9.7151964760670992</v>
      </c>
      <c r="AA33" s="3">
        <f t="shared" si="18"/>
        <v>9234.8486887926319</v>
      </c>
      <c r="AB33" s="3"/>
      <c r="AC33" s="3"/>
      <c r="AD33" s="3"/>
    </row>
    <row r="34" spans="1:30" hidden="1">
      <c r="A34" s="7">
        <f t="shared" si="34"/>
        <v>490</v>
      </c>
      <c r="B34" s="3">
        <f t="shared" si="34"/>
        <v>-52.714500000000001</v>
      </c>
      <c r="D34" s="1">
        <f t="shared" si="33"/>
        <v>28</v>
      </c>
      <c r="E34" s="2">
        <f t="shared" si="35"/>
        <v>10</v>
      </c>
      <c r="F34" s="2">
        <f t="shared" si="35"/>
        <v>15.79673</v>
      </c>
      <c r="G34" s="2">
        <f t="shared" si="4"/>
        <v>11.169974903572971</v>
      </c>
      <c r="H34" s="2">
        <f t="shared" si="27"/>
        <v>-10.869565217391301</v>
      </c>
      <c r="I34" s="2">
        <f t="shared" si="22"/>
        <v>185</v>
      </c>
      <c r="J34" s="20">
        <f t="shared" si="23"/>
        <v>41.844934782608703</v>
      </c>
      <c r="K34" s="2">
        <f t="shared" si="28"/>
        <v>185</v>
      </c>
      <c r="L34" s="2">
        <f t="shared" si="24"/>
        <v>189.67339973480935</v>
      </c>
      <c r="M34" s="2">
        <f t="shared" si="29"/>
        <v>4.4210846775387589</v>
      </c>
      <c r="N34" s="2">
        <f t="shared" si="30"/>
        <v>77.25479989276937</v>
      </c>
      <c r="P34" s="4">
        <f t="shared" si="9"/>
        <v>0.81475174199374301</v>
      </c>
      <c r="Q34" s="4">
        <f t="shared" si="10"/>
        <v>0.96946181186330771</v>
      </c>
      <c r="R34" s="4">
        <f t="shared" si="11"/>
        <v>5.1112165080541318E-3</v>
      </c>
      <c r="S34" s="4">
        <f t="shared" si="25"/>
        <v>0.92643460463996641</v>
      </c>
      <c r="T34" s="2">
        <f t="shared" si="26"/>
        <v>357.45768779949435</v>
      </c>
      <c r="U34" s="6">
        <f t="shared" si="12"/>
        <v>0.49158266024649472</v>
      </c>
      <c r="V34" s="4">
        <f t="shared" si="13"/>
        <v>0.6033526961765856</v>
      </c>
      <c r="W34" s="4">
        <f t="shared" si="14"/>
        <v>0.94176741199808822</v>
      </c>
      <c r="X34" s="3">
        <f t="shared" si="15"/>
        <v>45.82309162538553</v>
      </c>
      <c r="Y34" s="8">
        <f t="shared" si="31"/>
        <v>44.694047570976039</v>
      </c>
      <c r="Z34" s="3">
        <f t="shared" si="32"/>
        <v>10.109294625828664</v>
      </c>
      <c r="AA34" s="3">
        <f t="shared" si="18"/>
        <v>8691.4215749465438</v>
      </c>
      <c r="AB34" s="3"/>
      <c r="AC34" s="3"/>
      <c r="AD34" s="3"/>
    </row>
    <row r="35" spans="1:30" hidden="1">
      <c r="A35" s="7">
        <f t="shared" si="34"/>
        <v>490</v>
      </c>
      <c r="B35" s="3">
        <f t="shared" si="34"/>
        <v>-52.714500000000001</v>
      </c>
      <c r="D35" s="1">
        <f t="shared" si="33"/>
        <v>29</v>
      </c>
      <c r="E35" s="2">
        <f t="shared" si="35"/>
        <v>10</v>
      </c>
      <c r="F35" s="2">
        <f t="shared" si="35"/>
        <v>15.79673</v>
      </c>
      <c r="G35" s="2">
        <f t="shared" si="4"/>
        <v>11.169974903572971</v>
      </c>
      <c r="H35" s="2">
        <f t="shared" si="27"/>
        <v>-10.869565217391301</v>
      </c>
      <c r="I35" s="2">
        <f t="shared" si="22"/>
        <v>175</v>
      </c>
      <c r="J35" s="20">
        <f t="shared" si="23"/>
        <v>41.844934782608703</v>
      </c>
      <c r="K35" s="2">
        <f t="shared" si="28"/>
        <v>175</v>
      </c>
      <c r="L35" s="2">
        <f t="shared" si="24"/>
        <v>179.93331700094004</v>
      </c>
      <c r="M35" s="2">
        <f t="shared" si="29"/>
        <v>4.1821071274015287</v>
      </c>
      <c r="N35" s="2">
        <f t="shared" si="30"/>
        <v>76.55228037430247</v>
      </c>
      <c r="P35" s="4">
        <f t="shared" si="9"/>
        <v>0.81707639899261042</v>
      </c>
      <c r="Q35" s="4">
        <f t="shared" si="10"/>
        <v>0.9748164311382117</v>
      </c>
      <c r="R35" s="4">
        <f t="shared" si="11"/>
        <v>5.4176538697006229E-3</v>
      </c>
      <c r="S35" s="4">
        <f t="shared" si="25"/>
        <v>0.92643460463996641</v>
      </c>
      <c r="T35" s="2">
        <f t="shared" si="26"/>
        <v>357.45768779949435</v>
      </c>
      <c r="U35" s="6">
        <f t="shared" si="12"/>
        <v>0.46633897405733582</v>
      </c>
      <c r="V35" s="4">
        <f t="shared" si="13"/>
        <v>0.57074096697970267</v>
      </c>
      <c r="W35" s="4">
        <f t="shared" si="14"/>
        <v>0.93216328744870647</v>
      </c>
      <c r="X35" s="3">
        <f t="shared" si="15"/>
        <v>45.292837799683383</v>
      </c>
      <c r="Y35" s="8">
        <f t="shared" si="31"/>
        <v>44.051022606909328</v>
      </c>
      <c r="Z35" s="3">
        <f t="shared" si="32"/>
        <v>10.533212389104824</v>
      </c>
      <c r="AA35" s="3">
        <f t="shared" si="18"/>
        <v>8149.6905416825894</v>
      </c>
      <c r="AB35" s="3"/>
      <c r="AC35" s="3"/>
      <c r="AD35" s="3"/>
    </row>
    <row r="36" spans="1:30" hidden="1">
      <c r="A36" s="7">
        <f t="shared" ref="A36:B47" si="36">A35</f>
        <v>490</v>
      </c>
      <c r="B36" s="3">
        <f t="shared" si="36"/>
        <v>-52.714500000000001</v>
      </c>
      <c r="D36" s="1">
        <f t="shared" si="33"/>
        <v>30</v>
      </c>
      <c r="E36" s="2">
        <f t="shared" si="35"/>
        <v>10</v>
      </c>
      <c r="F36" s="2">
        <f t="shared" si="35"/>
        <v>15.79673</v>
      </c>
      <c r="G36" s="2">
        <f t="shared" si="4"/>
        <v>11.169974903572971</v>
      </c>
      <c r="H36" s="2">
        <f t="shared" si="27"/>
        <v>-10.869565217391301</v>
      </c>
      <c r="I36" s="2">
        <f t="shared" si="22"/>
        <v>165</v>
      </c>
      <c r="J36" s="20">
        <f t="shared" si="23"/>
        <v>41.844934782608703</v>
      </c>
      <c r="K36" s="2">
        <f t="shared" si="28"/>
        <v>165</v>
      </c>
      <c r="L36" s="2">
        <f t="shared" si="24"/>
        <v>170.22337843833546</v>
      </c>
      <c r="M36" s="2">
        <f t="shared" si="29"/>
        <v>3.9431295772642985</v>
      </c>
      <c r="N36" s="2">
        <f t="shared" si="30"/>
        <v>75.769485006787292</v>
      </c>
      <c r="P36" s="4">
        <f t="shared" si="9"/>
        <v>0.81969923528237421</v>
      </c>
      <c r="Q36" s="4">
        <f t="shared" si="10"/>
        <v>0.98087218362469419</v>
      </c>
      <c r="R36" s="4">
        <f t="shared" si="11"/>
        <v>5.762264811234619E-3</v>
      </c>
      <c r="S36" s="4">
        <f t="shared" si="25"/>
        <v>0.92643460463996641</v>
      </c>
      <c r="T36" s="2">
        <f t="shared" si="26"/>
        <v>357.45768779949435</v>
      </c>
      <c r="U36" s="6">
        <f t="shared" si="12"/>
        <v>0.44117341348791034</v>
      </c>
      <c r="V36" s="4">
        <f t="shared" si="13"/>
        <v>0.53821376731665815</v>
      </c>
      <c r="W36" s="4">
        <f t="shared" si="14"/>
        <v>0.92165696059133306</v>
      </c>
      <c r="X36" s="3">
        <f t="shared" si="15"/>
        <v>44.709248453716498</v>
      </c>
      <c r="Y36" s="8">
        <f t="shared" si="31"/>
        <v>43.337325710143844</v>
      </c>
      <c r="Z36" s="3">
        <f t="shared" si="32"/>
        <v>10.990591321173582</v>
      </c>
      <c r="AA36" s="3">
        <f t="shared" si="18"/>
        <v>7610.5593192305478</v>
      </c>
      <c r="AB36" s="3"/>
      <c r="AC36" s="3"/>
      <c r="AD36" s="3"/>
    </row>
    <row r="37" spans="1:30" hidden="1">
      <c r="A37" s="7">
        <f t="shared" si="36"/>
        <v>490</v>
      </c>
      <c r="B37" s="3">
        <f t="shared" si="36"/>
        <v>-52.714500000000001</v>
      </c>
      <c r="D37" s="1">
        <f t="shared" si="33"/>
        <v>31</v>
      </c>
      <c r="E37" s="2">
        <f t="shared" ref="E37:F47" si="37">E36</f>
        <v>10</v>
      </c>
      <c r="F37" s="2">
        <f t="shared" si="37"/>
        <v>15.79673</v>
      </c>
      <c r="G37" s="2">
        <f t="shared" si="4"/>
        <v>11.169974903572971</v>
      </c>
      <c r="H37" s="2">
        <f t="shared" si="27"/>
        <v>-10.869565217391301</v>
      </c>
      <c r="I37" s="2">
        <f t="shared" si="22"/>
        <v>155</v>
      </c>
      <c r="J37" s="20">
        <f t="shared" si="23"/>
        <v>41.844934782608703</v>
      </c>
      <c r="K37" s="2">
        <f t="shared" si="28"/>
        <v>155</v>
      </c>
      <c r="L37" s="2">
        <f t="shared" si="24"/>
        <v>160.54905346018325</v>
      </c>
      <c r="M37" s="2">
        <f t="shared" si="29"/>
        <v>3.7041520271270683</v>
      </c>
      <c r="N37" s="2">
        <f t="shared" si="30"/>
        <v>74.892170030022797</v>
      </c>
      <c r="P37" s="4">
        <f t="shared" si="9"/>
        <v>0.82268050059811704</v>
      </c>
      <c r="Q37" s="4">
        <f t="shared" si="10"/>
        <v>0.98777384712172678</v>
      </c>
      <c r="R37" s="4">
        <f t="shared" si="11"/>
        <v>6.1524738130374484E-3</v>
      </c>
      <c r="S37" s="4">
        <f t="shared" si="25"/>
        <v>0.92643460463996641</v>
      </c>
      <c r="T37" s="2">
        <f t="shared" si="26"/>
        <v>357.45768779949435</v>
      </c>
      <c r="U37" s="6">
        <f t="shared" si="12"/>
        <v>0.41610015379256898</v>
      </c>
      <c r="V37" s="4">
        <f t="shared" si="13"/>
        <v>0.50578584698440021</v>
      </c>
      <c r="W37" s="4">
        <f t="shared" si="14"/>
        <v>0.91018917648930386</v>
      </c>
      <c r="X37" s="3">
        <f t="shared" si="15"/>
        <v>44.067454195616314</v>
      </c>
      <c r="Y37" s="8">
        <f t="shared" si="31"/>
        <v>42.544351729949668</v>
      </c>
      <c r="Z37" s="3">
        <f t="shared" si="32"/>
        <v>11.485584667794253</v>
      </c>
      <c r="AA37" s="3">
        <f t="shared" si="18"/>
        <v>7074.9880595061804</v>
      </c>
      <c r="AB37" s="3"/>
      <c r="AC37" s="3"/>
      <c r="AD37" s="3"/>
    </row>
    <row r="38" spans="1:30" hidden="1">
      <c r="A38" s="7">
        <f t="shared" si="36"/>
        <v>490</v>
      </c>
      <c r="B38" s="3">
        <f t="shared" si="36"/>
        <v>-52.714500000000001</v>
      </c>
      <c r="D38" s="1">
        <f t="shared" si="33"/>
        <v>32</v>
      </c>
      <c r="E38" s="2">
        <f t="shared" si="37"/>
        <v>10</v>
      </c>
      <c r="F38" s="2">
        <f t="shared" si="37"/>
        <v>15.79673</v>
      </c>
      <c r="G38" s="2">
        <f t="shared" si="4"/>
        <v>11.169974903572971</v>
      </c>
      <c r="H38" s="2">
        <f t="shared" si="27"/>
        <v>-10.869565217391301</v>
      </c>
      <c r="I38" s="2">
        <f t="shared" si="22"/>
        <v>145</v>
      </c>
      <c r="J38" s="20">
        <f t="shared" si="23"/>
        <v>41.844934782608703</v>
      </c>
      <c r="K38" s="2">
        <f t="shared" si="28"/>
        <v>145</v>
      </c>
      <c r="L38" s="2">
        <f t="shared" si="24"/>
        <v>150.91719109154124</v>
      </c>
      <c r="M38" s="2">
        <f t="shared" si="29"/>
        <v>3.465174476989838</v>
      </c>
      <c r="N38" s="2">
        <f t="shared" si="30"/>
        <v>73.902613393209279</v>
      </c>
      <c r="P38" s="4">
        <f t="shared" si="9"/>
        <v>0.82609753814879971</v>
      </c>
      <c r="Q38" s="4">
        <f t="shared" si="10"/>
        <v>0.99570823643021322</v>
      </c>
      <c r="R38" s="4">
        <f t="shared" si="11"/>
        <v>6.5977124887399369E-3</v>
      </c>
      <c r="S38" s="4">
        <f t="shared" si="25"/>
        <v>0.92643460463996641</v>
      </c>
      <c r="T38" s="2">
        <f t="shared" si="26"/>
        <v>357.45768779949435</v>
      </c>
      <c r="U38" s="6">
        <f t="shared" si="12"/>
        <v>0.39113694581018899</v>
      </c>
      <c r="V38" s="4">
        <f t="shared" si="13"/>
        <v>0.47347550107301734</v>
      </c>
      <c r="W38" s="4">
        <f t="shared" si="14"/>
        <v>0.89769165619283287</v>
      </c>
      <c r="X38" s="3">
        <f t="shared" si="15"/>
        <v>43.361584267849061</v>
      </c>
      <c r="Y38" s="8">
        <f t="shared" si="31"/>
        <v>41.661454691562426</v>
      </c>
      <c r="Z38" s="3">
        <f t="shared" si="32"/>
        <v>12.02290244494508</v>
      </c>
      <c r="AA38" s="3">
        <f t="shared" si="18"/>
        <v>6544.0084989829447</v>
      </c>
      <c r="AB38" s="3"/>
      <c r="AC38" s="3"/>
      <c r="AD38" s="3"/>
    </row>
    <row r="39" spans="1:30" hidden="1">
      <c r="A39" s="7">
        <f t="shared" si="36"/>
        <v>490</v>
      </c>
      <c r="B39" s="3">
        <f t="shared" si="36"/>
        <v>-52.714500000000001</v>
      </c>
      <c r="D39" s="1">
        <f t="shared" si="33"/>
        <v>33</v>
      </c>
      <c r="E39" s="2">
        <f t="shared" si="37"/>
        <v>10</v>
      </c>
      <c r="F39" s="2">
        <f t="shared" si="37"/>
        <v>15.79673</v>
      </c>
      <c r="G39" s="2">
        <f t="shared" ref="G39:G52" si="38">F39/SQRT(2)</f>
        <v>11.169974903572971</v>
      </c>
      <c r="H39" s="2">
        <f t="shared" si="27"/>
        <v>-10.869565217391301</v>
      </c>
      <c r="I39" s="2">
        <f t="shared" si="22"/>
        <v>135</v>
      </c>
      <c r="J39" s="20">
        <f t="shared" ref="J39:J52" si="39">H39-B39</f>
        <v>41.844934782608703</v>
      </c>
      <c r="K39" s="2">
        <f t="shared" ref="K39:K52" si="40">I39</f>
        <v>135</v>
      </c>
      <c r="L39" s="2">
        <f t="shared" ref="L39:L52" si="41">SQRT(J39^2+K39^2)</f>
        <v>141.33647288283649</v>
      </c>
      <c r="M39" s="2">
        <f t="shared" ref="M39:M52" si="42">IF(J39=0,"infinity",ABS(K39/J39))</f>
        <v>3.2261969268526078</v>
      </c>
      <c r="N39" s="2">
        <f t="shared" ref="N39:N52" si="43">IF(J39=0,90,ATAN(M39)*180/PI())</f>
        <v>72.778525096926018</v>
      </c>
      <c r="P39" s="4">
        <f t="shared" ref="P39:P52" si="44">0.209 * (N39+2)^-0.32 * F39</f>
        <v>0.83005118685002188</v>
      </c>
      <c r="Q39" s="4">
        <f t="shared" ref="Q39:Q52" si="45">MIN(1.087*(N39+6)^-0.65 * F39, 0.17*F39)</f>
        <v>1.0049203469516019</v>
      </c>
      <c r="R39" s="4">
        <f t="shared" ref="R39:R52" si="46">Q39/L39</f>
        <v>7.1101275308083391E-3</v>
      </c>
      <c r="S39" s="4">
        <f t="shared" si="25"/>
        <v>0.92643460463996641</v>
      </c>
      <c r="T39" s="2">
        <f t="shared" si="26"/>
        <v>357.45768779949435</v>
      </c>
      <c r="U39" s="6">
        <f t="shared" ref="U39:U52" si="47">S39*L39/T39</f>
        <v>0.36630628979468038</v>
      </c>
      <c r="V39" s="4">
        <f t="shared" ref="V39:V52" si="48">U39/P39</f>
        <v>0.44130566355164619</v>
      </c>
      <c r="W39" s="4">
        <f t="shared" ref="W39:W52" si="49">POWER(V39*(1.9-0.9*V39),0.3)</f>
        <v>0.88408569849488372</v>
      </c>
      <c r="X39" s="3">
        <f t="shared" ref="X39:X52" si="50">0.6*A39*G39*E39*(1+0.5*SIN(N39*PI()/180)^1.5)*W39/1000</f>
        <v>42.58450145464829</v>
      </c>
      <c r="Y39" s="8">
        <f t="shared" ref="Y39:Y52" si="51">X39*SIN(N39*PI()/180)</f>
        <v>40.675330147393609</v>
      </c>
      <c r="Z39" s="3">
        <f t="shared" ref="Z39:Z52" si="52">X39*COS(N39*PI()/180)</f>
        <v>12.607826202064915</v>
      </c>
      <c r="AA39" s="3">
        <f t="shared" ref="AA39:AA52" si="53">L39*X39</f>
        <v>6018.7432350740091</v>
      </c>
      <c r="AB39" s="3"/>
      <c r="AC39" s="3"/>
      <c r="AD39" s="3"/>
    </row>
    <row r="40" spans="1:30" hidden="1">
      <c r="A40" s="7">
        <f t="shared" si="36"/>
        <v>490</v>
      </c>
      <c r="B40" s="3">
        <f t="shared" si="36"/>
        <v>-52.714500000000001</v>
      </c>
      <c r="D40" s="1">
        <f t="shared" si="33"/>
        <v>34</v>
      </c>
      <c r="E40" s="2">
        <f t="shared" si="37"/>
        <v>10</v>
      </c>
      <c r="F40" s="2">
        <f t="shared" si="37"/>
        <v>15.79673</v>
      </c>
      <c r="G40" s="2">
        <f t="shared" si="38"/>
        <v>11.169974903572971</v>
      </c>
      <c r="H40" s="2">
        <f t="shared" si="27"/>
        <v>-10.869565217391301</v>
      </c>
      <c r="I40" s="2">
        <f t="shared" si="22"/>
        <v>125</v>
      </c>
      <c r="J40" s="20">
        <f t="shared" si="39"/>
        <v>41.844934782608703</v>
      </c>
      <c r="K40" s="2">
        <f t="shared" si="40"/>
        <v>125</v>
      </c>
      <c r="L40" s="2">
        <f t="shared" si="41"/>
        <v>131.81805099060134</v>
      </c>
      <c r="M40" s="2">
        <f t="shared" si="42"/>
        <v>2.9872193767153776</v>
      </c>
      <c r="N40" s="2">
        <f t="shared" si="43"/>
        <v>71.491541791150112</v>
      </c>
      <c r="P40" s="4">
        <f t="shared" si="44"/>
        <v>0.8346752320472669</v>
      </c>
      <c r="Q40" s="4">
        <f t="shared" si="45"/>
        <v>1.0157373985774194</v>
      </c>
      <c r="R40" s="4">
        <f t="shared" si="46"/>
        <v>7.7056017058683545E-3</v>
      </c>
      <c r="S40" s="4">
        <f t="shared" si="25"/>
        <v>0.92643460463996641</v>
      </c>
      <c r="T40" s="2">
        <f t="shared" si="26"/>
        <v>357.45768779949435</v>
      </c>
      <c r="U40" s="6">
        <f t="shared" si="47"/>
        <v>0.34163708914938445</v>
      </c>
      <c r="V40" s="4">
        <f t="shared" si="48"/>
        <v>0.40930541129323683</v>
      </c>
      <c r="W40" s="4">
        <f t="shared" si="49"/>
        <v>0.86928060691357389</v>
      </c>
      <c r="X40" s="3">
        <f t="shared" si="50"/>
        <v>41.727447090733548</v>
      </c>
      <c r="Y40" s="8">
        <f t="shared" si="51"/>
        <v>39.56917013371401</v>
      </c>
      <c r="Z40" s="3">
        <f t="shared" si="52"/>
        <v>13.246154749177698</v>
      </c>
      <c r="AA40" s="3">
        <f t="shared" si="53"/>
        <v>5500.4307483139346</v>
      </c>
      <c r="AB40" s="3"/>
      <c r="AC40" s="3"/>
      <c r="AD40" s="3"/>
    </row>
    <row r="41" spans="1:30" hidden="1">
      <c r="A41" s="7">
        <f t="shared" si="36"/>
        <v>490</v>
      </c>
      <c r="B41" s="3">
        <f t="shared" si="36"/>
        <v>-52.714500000000001</v>
      </c>
      <c r="D41" s="1">
        <f t="shared" si="33"/>
        <v>35</v>
      </c>
      <c r="E41" s="2">
        <f t="shared" si="37"/>
        <v>10</v>
      </c>
      <c r="F41" s="2">
        <f t="shared" si="37"/>
        <v>15.79673</v>
      </c>
      <c r="G41" s="2">
        <f t="shared" si="38"/>
        <v>11.169974903572971</v>
      </c>
      <c r="H41" s="2">
        <f t="shared" si="27"/>
        <v>-10.869565217391301</v>
      </c>
      <c r="I41" s="2">
        <f t="shared" si="22"/>
        <v>115</v>
      </c>
      <c r="J41" s="20">
        <f t="shared" si="39"/>
        <v>41.844934782608703</v>
      </c>
      <c r="K41" s="2">
        <f t="shared" si="40"/>
        <v>115</v>
      </c>
      <c r="L41" s="2">
        <f t="shared" si="41"/>
        <v>122.37646247118265</v>
      </c>
      <c r="M41" s="2">
        <f t="shared" si="42"/>
        <v>2.7482418265781474</v>
      </c>
      <c r="N41" s="2">
        <f t="shared" si="43"/>
        <v>70.005122052712949</v>
      </c>
      <c r="P41" s="4">
        <f t="shared" si="44"/>
        <v>0.84015070511693868</v>
      </c>
      <c r="Q41" s="4">
        <f t="shared" si="45"/>
        <v>1.0286055890455994</v>
      </c>
      <c r="R41" s="4">
        <f t="shared" si="46"/>
        <v>8.4052567648604543E-3</v>
      </c>
      <c r="S41" s="4">
        <f t="shared" si="25"/>
        <v>0.92643460463996641</v>
      </c>
      <c r="T41" s="2">
        <f t="shared" si="26"/>
        <v>357.45768779949435</v>
      </c>
      <c r="U41" s="6">
        <f t="shared" si="47"/>
        <v>0.31716702003153324</v>
      </c>
      <c r="V41" s="4">
        <f t="shared" si="48"/>
        <v>0.37751205599165388</v>
      </c>
      <c r="W41" s="4">
        <f t="shared" si="49"/>
        <v>0.85317200972067619</v>
      </c>
      <c r="X41" s="3">
        <f t="shared" si="50"/>
        <v>40.779562286142848</v>
      </c>
      <c r="Y41" s="8">
        <f t="shared" si="51"/>
        <v>38.321500460194713</v>
      </c>
      <c r="Z41" s="3">
        <f t="shared" si="52"/>
        <v>13.9440059785092</v>
      </c>
      <c r="AA41" s="3">
        <f t="shared" si="53"/>
        <v>4990.4585737014158</v>
      </c>
      <c r="AB41" s="3"/>
      <c r="AC41" s="3"/>
      <c r="AD41" s="3"/>
    </row>
    <row r="42" spans="1:30" hidden="1">
      <c r="A42" s="7">
        <f t="shared" si="36"/>
        <v>490</v>
      </c>
      <c r="B42" s="3">
        <f t="shared" si="36"/>
        <v>-52.714500000000001</v>
      </c>
      <c r="D42" s="1">
        <f t="shared" si="33"/>
        <v>36</v>
      </c>
      <c r="E42" s="2">
        <f t="shared" si="37"/>
        <v>10</v>
      </c>
      <c r="F42" s="2">
        <f t="shared" si="37"/>
        <v>15.79673</v>
      </c>
      <c r="G42" s="2">
        <f t="shared" si="38"/>
        <v>11.169974903572971</v>
      </c>
      <c r="H42" s="2">
        <f t="shared" si="27"/>
        <v>-10.869565217391301</v>
      </c>
      <c r="I42" s="2">
        <f t="shared" si="22"/>
        <v>105</v>
      </c>
      <c r="J42" s="20">
        <f t="shared" si="39"/>
        <v>41.844934782608703</v>
      </c>
      <c r="K42" s="2">
        <f t="shared" si="40"/>
        <v>105</v>
      </c>
      <c r="L42" s="2">
        <f t="shared" si="41"/>
        <v>113.03096286841397</v>
      </c>
      <c r="M42" s="2">
        <f t="shared" si="42"/>
        <v>2.5092642764409172</v>
      </c>
      <c r="N42" s="2">
        <f t="shared" si="43"/>
        <v>68.27157166665441</v>
      </c>
      <c r="P42" s="4">
        <f t="shared" si="44"/>
        <v>0.84672812950386633</v>
      </c>
      <c r="Q42" s="4">
        <f t="shared" si="45"/>
        <v>1.0441479497991313</v>
      </c>
      <c r="R42" s="4">
        <f t="shared" si="46"/>
        <v>9.2377161381407124E-3</v>
      </c>
      <c r="S42" s="4">
        <f t="shared" si="25"/>
        <v>0.92643460463996641</v>
      </c>
      <c r="T42" s="2">
        <f t="shared" si="26"/>
        <v>357.45768779949435</v>
      </c>
      <c r="U42" s="6">
        <f t="shared" si="47"/>
        <v>0.29294598765437979</v>
      </c>
      <c r="V42" s="4">
        <f t="shared" si="48"/>
        <v>0.34597408240828043</v>
      </c>
      <c r="W42" s="4">
        <f t="shared" si="49"/>
        <v>0.8356402500600858</v>
      </c>
      <c r="X42" s="3">
        <f t="shared" si="50"/>
        <v>39.727240291109709</v>
      </c>
      <c r="Y42" s="8">
        <f t="shared" si="51"/>
        <v>36.904580167317938</v>
      </c>
      <c r="Z42" s="3">
        <f t="shared" si="52"/>
        <v>14.707330955056886</v>
      </c>
      <c r="AA42" s="3">
        <f t="shared" si="53"/>
        <v>4490.408222208981</v>
      </c>
      <c r="AB42" s="3"/>
      <c r="AC42" s="3"/>
      <c r="AD42" s="3"/>
    </row>
    <row r="43" spans="1:30" hidden="1">
      <c r="A43" s="7">
        <f t="shared" si="36"/>
        <v>490</v>
      </c>
      <c r="B43" s="3">
        <f t="shared" si="36"/>
        <v>-52.714500000000001</v>
      </c>
      <c r="D43" s="1">
        <f t="shared" si="33"/>
        <v>37</v>
      </c>
      <c r="E43" s="2">
        <f t="shared" si="37"/>
        <v>10</v>
      </c>
      <c r="F43" s="2">
        <f t="shared" si="37"/>
        <v>15.79673</v>
      </c>
      <c r="G43" s="2">
        <f t="shared" si="38"/>
        <v>11.169974903572971</v>
      </c>
      <c r="H43" s="2">
        <f t="shared" si="27"/>
        <v>-10.869565217391301</v>
      </c>
      <c r="I43" s="2">
        <f t="shared" si="22"/>
        <v>95</v>
      </c>
      <c r="J43" s="20">
        <f t="shared" si="39"/>
        <v>41.844934782608703</v>
      </c>
      <c r="K43" s="2">
        <f t="shared" si="40"/>
        <v>95</v>
      </c>
      <c r="L43" s="2">
        <f t="shared" si="41"/>
        <v>103.80750727650084</v>
      </c>
      <c r="M43" s="2">
        <f t="shared" si="42"/>
        <v>2.270286726303687</v>
      </c>
      <c r="N43" s="2">
        <f t="shared" si="43"/>
        <v>66.227804395665828</v>
      </c>
      <c r="P43" s="4">
        <f t="shared" si="44"/>
        <v>0.85476323621437966</v>
      </c>
      <c r="Q43" s="4">
        <f t="shared" si="45"/>
        <v>1.0632585180979472</v>
      </c>
      <c r="R43" s="4">
        <f t="shared" si="46"/>
        <v>1.024259753454883E-2</v>
      </c>
      <c r="S43" s="4">
        <f t="shared" si="25"/>
        <v>0.92643460463996641</v>
      </c>
      <c r="T43" s="2">
        <f t="shared" si="26"/>
        <v>357.45768779949435</v>
      </c>
      <c r="U43" s="6">
        <f t="shared" si="47"/>
        <v>0.26904126067169604</v>
      </c>
      <c r="V43" s="4">
        <f t="shared" si="48"/>
        <v>0.31475530213868358</v>
      </c>
      <c r="W43" s="4">
        <f t="shared" si="49"/>
        <v>0.81654923833593818</v>
      </c>
      <c r="X43" s="3">
        <f t="shared" si="50"/>
        <v>38.553255299005599</v>
      </c>
      <c r="Y43" s="8">
        <f t="shared" si="51"/>
        <v>35.282219460775302</v>
      </c>
      <c r="Z43" s="3">
        <f t="shared" si="52"/>
        <v>15.540864971808737</v>
      </c>
      <c r="AA43" s="3">
        <f t="shared" si="53"/>
        <v>4002.1173299843185</v>
      </c>
      <c r="AB43" s="3"/>
      <c r="AC43" s="3"/>
      <c r="AD43" s="3"/>
    </row>
    <row r="44" spans="1:30" hidden="1">
      <c r="A44" s="7">
        <f t="shared" si="36"/>
        <v>490</v>
      </c>
      <c r="B44" s="3">
        <f t="shared" si="36"/>
        <v>-52.714500000000001</v>
      </c>
      <c r="D44" s="1">
        <f t="shared" si="33"/>
        <v>38</v>
      </c>
      <c r="E44" s="2">
        <f t="shared" si="37"/>
        <v>10</v>
      </c>
      <c r="F44" s="2">
        <f t="shared" si="37"/>
        <v>15.79673</v>
      </c>
      <c r="G44" s="2">
        <f t="shared" si="38"/>
        <v>11.169974903572971</v>
      </c>
      <c r="H44" s="2">
        <f t="shared" si="27"/>
        <v>-10.869565217391301</v>
      </c>
      <c r="I44" s="2">
        <f t="shared" si="22"/>
        <v>85</v>
      </c>
      <c r="J44" s="20">
        <f t="shared" si="39"/>
        <v>41.844934782608703</v>
      </c>
      <c r="K44" s="2">
        <f t="shared" si="40"/>
        <v>85</v>
      </c>
      <c r="L44" s="2">
        <f t="shared" si="41"/>
        <v>94.741746695745348</v>
      </c>
      <c r="M44" s="2">
        <f t="shared" si="42"/>
        <v>2.0313091761664568</v>
      </c>
      <c r="N44" s="2">
        <f t="shared" si="43"/>
        <v>63.789283410296278</v>
      </c>
      <c r="P44" s="4">
        <f t="shared" si="44"/>
        <v>0.86477640456514715</v>
      </c>
      <c r="Q44" s="4">
        <f t="shared" si="45"/>
        <v>1.08726162261926</v>
      </c>
      <c r="R44" s="4">
        <f t="shared" si="46"/>
        <v>1.1476056337771601E-2</v>
      </c>
      <c r="S44" s="4">
        <f t="shared" si="25"/>
        <v>0.92643460463996641</v>
      </c>
      <c r="T44" s="2">
        <f t="shared" si="26"/>
        <v>357.45768779949435</v>
      </c>
      <c r="U44" s="6">
        <f t="shared" si="47"/>
        <v>0.24554523692942895</v>
      </c>
      <c r="V44" s="4">
        <f t="shared" si="48"/>
        <v>0.28394072228751593</v>
      </c>
      <c r="W44" s="4">
        <f t="shared" si="49"/>
        <v>0.79574656428767809</v>
      </c>
      <c r="X44" s="3">
        <f t="shared" si="50"/>
        <v>37.235617589888626</v>
      </c>
      <c r="Y44" s="8">
        <f t="shared" si="51"/>
        <v>33.406894062284245</v>
      </c>
      <c r="Z44" s="3">
        <f t="shared" si="52"/>
        <v>16.445991803832964</v>
      </c>
      <c r="AA44" s="3">
        <f t="shared" si="53"/>
        <v>3527.7674497608682</v>
      </c>
      <c r="AB44" s="3"/>
      <c r="AC44" s="3"/>
      <c r="AD44" s="3"/>
    </row>
    <row r="45" spans="1:30" hidden="1">
      <c r="A45" s="7">
        <f t="shared" si="36"/>
        <v>490</v>
      </c>
      <c r="B45" s="3">
        <f t="shared" si="36"/>
        <v>-52.714500000000001</v>
      </c>
      <c r="D45" s="1">
        <f t="shared" si="33"/>
        <v>39</v>
      </c>
      <c r="E45" s="2">
        <f t="shared" si="37"/>
        <v>10</v>
      </c>
      <c r="F45" s="2">
        <f t="shared" si="37"/>
        <v>15.79673</v>
      </c>
      <c r="G45" s="2">
        <f t="shared" si="38"/>
        <v>11.169974903572971</v>
      </c>
      <c r="H45" s="2">
        <f t="shared" si="27"/>
        <v>-10.869565217391301</v>
      </c>
      <c r="I45" s="2">
        <f t="shared" si="22"/>
        <v>75</v>
      </c>
      <c r="J45" s="20">
        <f t="shared" si="39"/>
        <v>41.844934782608703</v>
      </c>
      <c r="K45" s="2">
        <f t="shared" si="40"/>
        <v>75</v>
      </c>
      <c r="L45" s="2">
        <f t="shared" si="41"/>
        <v>85.883633871423811</v>
      </c>
      <c r="M45" s="2">
        <f t="shared" si="42"/>
        <v>1.7923316260292266</v>
      </c>
      <c r="N45" s="2">
        <f t="shared" si="43"/>
        <v>60.841433641313095</v>
      </c>
      <c r="P45" s="4">
        <f t="shared" si="44"/>
        <v>0.87755578662745948</v>
      </c>
      <c r="Q45" s="4">
        <f t="shared" si="45"/>
        <v>1.1181935883594056</v>
      </c>
      <c r="R45" s="4">
        <f t="shared" si="46"/>
        <v>1.3019868139644052E-2</v>
      </c>
      <c r="S45" s="4">
        <f t="shared" si="25"/>
        <v>0.92643460463996641</v>
      </c>
      <c r="T45" s="2">
        <f t="shared" si="26"/>
        <v>357.45768779949435</v>
      </c>
      <c r="U45" s="6">
        <f t="shared" si="47"/>
        <v>0.22258738056669289</v>
      </c>
      <c r="V45" s="4">
        <f t="shared" si="48"/>
        <v>0.25364470721812449</v>
      </c>
      <c r="W45" s="4">
        <f t="shared" si="49"/>
        <v>0.77306637604012796</v>
      </c>
      <c r="X45" s="3">
        <f t="shared" si="50"/>
        <v>35.746163167470037</v>
      </c>
      <c r="Y45" s="8">
        <f t="shared" si="51"/>
        <v>31.216217999973253</v>
      </c>
      <c r="Z45" s="3">
        <f t="shared" si="52"/>
        <v>17.416541418247693</v>
      </c>
      <c r="AA45" s="3">
        <f t="shared" si="53"/>
        <v>3070.0103897831718</v>
      </c>
      <c r="AB45" s="3"/>
      <c r="AC45" s="3"/>
      <c r="AD45" s="3"/>
    </row>
    <row r="46" spans="1:30" hidden="1">
      <c r="A46" s="7">
        <f t="shared" si="36"/>
        <v>490</v>
      </c>
      <c r="B46" s="3">
        <f t="shared" si="36"/>
        <v>-52.714500000000001</v>
      </c>
      <c r="D46" s="1">
        <f t="shared" si="33"/>
        <v>40</v>
      </c>
      <c r="E46" s="2">
        <f t="shared" si="37"/>
        <v>10</v>
      </c>
      <c r="F46" s="2">
        <f t="shared" si="37"/>
        <v>15.79673</v>
      </c>
      <c r="G46" s="2">
        <f t="shared" si="38"/>
        <v>11.169974903572971</v>
      </c>
      <c r="H46" s="2">
        <f t="shared" si="27"/>
        <v>-10.869565217391301</v>
      </c>
      <c r="I46" s="2">
        <f t="shared" si="22"/>
        <v>65</v>
      </c>
      <c r="J46" s="20">
        <f t="shared" si="39"/>
        <v>41.844934782608703</v>
      </c>
      <c r="K46" s="2">
        <f t="shared" si="40"/>
        <v>65</v>
      </c>
      <c r="L46" s="2">
        <f t="shared" si="41"/>
        <v>77.304583091565632</v>
      </c>
      <c r="M46" s="2">
        <f t="shared" si="42"/>
        <v>1.5533540758919964</v>
      </c>
      <c r="N46" s="2">
        <f t="shared" si="43"/>
        <v>57.227852373977221</v>
      </c>
      <c r="P46" s="4">
        <f t="shared" si="44"/>
        <v>0.89434517029135585</v>
      </c>
      <c r="Q46" s="4">
        <f t="shared" si="45"/>
        <v>1.1593278247025209</v>
      </c>
      <c r="R46" s="4">
        <f t="shared" si="46"/>
        <v>1.4996883474933456E-2</v>
      </c>
      <c r="S46" s="4">
        <f t="shared" si="25"/>
        <v>0.92643460463996641</v>
      </c>
      <c r="T46" s="2">
        <f t="shared" si="26"/>
        <v>357.45768779949435</v>
      </c>
      <c r="U46" s="6">
        <f t="shared" si="47"/>
        <v>0.20035277829431911</v>
      </c>
      <c r="V46" s="4">
        <f t="shared" si="48"/>
        <v>0.22402175910342206</v>
      </c>
      <c r="W46" s="4">
        <f t="shared" si="49"/>
        <v>0.74833757629487696</v>
      </c>
      <c r="X46" s="3">
        <f t="shared" si="50"/>
        <v>34.049111163790826</v>
      </c>
      <c r="Y46" s="8">
        <f t="shared" si="51"/>
        <v>28.629508589742013</v>
      </c>
      <c r="Z46" s="3">
        <f t="shared" si="52"/>
        <v>18.430767996859849</v>
      </c>
      <c r="AA46" s="3">
        <f t="shared" si="53"/>
        <v>2632.1523431552228</v>
      </c>
      <c r="AB46" s="3"/>
      <c r="AC46" s="3"/>
      <c r="AD46" s="3"/>
    </row>
    <row r="47" spans="1:30" hidden="1">
      <c r="A47" s="7">
        <f t="shared" si="36"/>
        <v>490</v>
      </c>
      <c r="B47" s="3">
        <f t="shared" si="36"/>
        <v>-52.714500000000001</v>
      </c>
      <c r="D47" s="1">
        <f t="shared" si="33"/>
        <v>41</v>
      </c>
      <c r="E47" s="2">
        <f t="shared" si="37"/>
        <v>10</v>
      </c>
      <c r="F47" s="2">
        <f t="shared" si="37"/>
        <v>15.79673</v>
      </c>
      <c r="G47" s="2">
        <f t="shared" si="38"/>
        <v>11.169974903572971</v>
      </c>
      <c r="H47" s="2">
        <f t="shared" si="27"/>
        <v>-10.869565217391301</v>
      </c>
      <c r="I47" s="2">
        <f t="shared" si="22"/>
        <v>55</v>
      </c>
      <c r="J47" s="20">
        <f t="shared" si="39"/>
        <v>41.844934782608703</v>
      </c>
      <c r="K47" s="2">
        <f t="shared" si="40"/>
        <v>55</v>
      </c>
      <c r="L47" s="2">
        <f t="shared" si="41"/>
        <v>69.108599804660898</v>
      </c>
      <c r="M47" s="2">
        <f t="shared" si="42"/>
        <v>1.3143765257547662</v>
      </c>
      <c r="N47" s="2">
        <f t="shared" si="43"/>
        <v>52.735505772061138</v>
      </c>
      <c r="P47" s="4">
        <f t="shared" si="44"/>
        <v>0.91720699452402821</v>
      </c>
      <c r="Q47" s="4">
        <f t="shared" si="45"/>
        <v>1.2162175778813606</v>
      </c>
      <c r="R47" s="4">
        <f t="shared" si="46"/>
        <v>1.7598643024443611E-2</v>
      </c>
      <c r="S47" s="4">
        <f t="shared" si="25"/>
        <v>0.92643460463996641</v>
      </c>
      <c r="T47" s="2">
        <f t="shared" si="26"/>
        <v>357.45768779949435</v>
      </c>
      <c r="U47" s="6">
        <f t="shared" si="47"/>
        <v>0.17911098438359913</v>
      </c>
      <c r="V47" s="4">
        <f t="shared" si="48"/>
        <v>0.19527869439825443</v>
      </c>
      <c r="W47" s="4">
        <f t="shared" si="49"/>
        <v>0.72140054636262207</v>
      </c>
      <c r="X47" s="3">
        <f t="shared" si="50"/>
        <v>32.100516973872139</v>
      </c>
      <c r="Y47" s="8">
        <f t="shared" si="51"/>
        <v>25.547159666862402</v>
      </c>
      <c r="Z47" s="3">
        <f t="shared" si="52"/>
        <v>19.436713275286341</v>
      </c>
      <c r="AA47" s="3">
        <f t="shared" si="53"/>
        <v>2218.4217810700538</v>
      </c>
      <c r="AB47" s="3"/>
      <c r="AC47" s="3"/>
      <c r="AD47" s="3"/>
    </row>
    <row r="48" spans="1:30" hidden="1">
      <c r="A48" s="7">
        <f t="shared" ref="A48:B52" si="54">A47</f>
        <v>490</v>
      </c>
      <c r="B48" s="3">
        <f t="shared" si="54"/>
        <v>-52.714500000000001</v>
      </c>
      <c r="D48" s="1">
        <f t="shared" si="33"/>
        <v>42</v>
      </c>
      <c r="E48" s="2">
        <f t="shared" ref="E48:F52" si="55">E47</f>
        <v>10</v>
      </c>
      <c r="F48" s="2">
        <f t="shared" si="55"/>
        <v>15.79673</v>
      </c>
      <c r="G48" s="2">
        <f t="shared" si="38"/>
        <v>11.169974903572971</v>
      </c>
      <c r="H48" s="2">
        <f t="shared" si="27"/>
        <v>-10.869565217391301</v>
      </c>
      <c r="I48" s="2">
        <f t="shared" si="22"/>
        <v>45</v>
      </c>
      <c r="J48" s="20">
        <f t="shared" si="39"/>
        <v>41.844934782608703</v>
      </c>
      <c r="K48" s="2">
        <f t="shared" si="40"/>
        <v>45</v>
      </c>
      <c r="L48" s="2">
        <f t="shared" si="41"/>
        <v>61.449154322584263</v>
      </c>
      <c r="M48" s="2">
        <f t="shared" si="42"/>
        <v>1.0753989756175359</v>
      </c>
      <c r="N48" s="2">
        <f t="shared" si="43"/>
        <v>47.080633179613066</v>
      </c>
      <c r="P48" s="4">
        <f t="shared" si="44"/>
        <v>0.94977827433742745</v>
      </c>
      <c r="Q48" s="4">
        <f t="shared" si="45"/>
        <v>1.2989375679577193</v>
      </c>
      <c r="R48" s="4">
        <f t="shared" si="46"/>
        <v>2.1138412436708245E-2</v>
      </c>
      <c r="S48" s="4">
        <f t="shared" si="25"/>
        <v>0.92643460463996641</v>
      </c>
      <c r="T48" s="2">
        <f t="shared" si="26"/>
        <v>357.45768779949435</v>
      </c>
      <c r="U48" s="6">
        <f t="shared" si="47"/>
        <v>0.15925975278572305</v>
      </c>
      <c r="V48" s="4">
        <f t="shared" si="48"/>
        <v>0.16768098101298839</v>
      </c>
      <c r="W48" s="4">
        <f t="shared" si="49"/>
        <v>0.69213143469297778</v>
      </c>
      <c r="X48" s="3">
        <f t="shared" si="50"/>
        <v>29.851423908359706</v>
      </c>
      <c r="Y48" s="8">
        <f t="shared" si="51"/>
        <v>21.860578728623473</v>
      </c>
      <c r="Z48" s="3">
        <f t="shared" si="52"/>
        <v>20.327877582429611</v>
      </c>
      <c r="AA48" s="3">
        <f t="shared" si="53"/>
        <v>1834.3447544936771</v>
      </c>
      <c r="AB48" s="3"/>
      <c r="AC48" s="3"/>
      <c r="AD48" s="3"/>
    </row>
    <row r="49" spans="1:31" hidden="1">
      <c r="A49" s="7">
        <f t="shared" si="54"/>
        <v>490</v>
      </c>
      <c r="B49" s="3">
        <f t="shared" si="54"/>
        <v>-52.714500000000001</v>
      </c>
      <c r="D49" s="1">
        <f t="shared" si="33"/>
        <v>43</v>
      </c>
      <c r="E49" s="2">
        <f t="shared" si="55"/>
        <v>10</v>
      </c>
      <c r="F49" s="2">
        <f t="shared" si="55"/>
        <v>15.79673</v>
      </c>
      <c r="G49" s="2">
        <f t="shared" si="38"/>
        <v>11.169974903572971</v>
      </c>
      <c r="H49" s="2">
        <f t="shared" si="27"/>
        <v>-10.869565217391301</v>
      </c>
      <c r="I49" s="2">
        <f t="shared" si="22"/>
        <v>35</v>
      </c>
      <c r="J49" s="20">
        <f t="shared" si="39"/>
        <v>41.844934782608703</v>
      </c>
      <c r="K49" s="2">
        <f t="shared" si="40"/>
        <v>35</v>
      </c>
      <c r="L49" s="2">
        <f t="shared" si="41"/>
        <v>54.552713653500099</v>
      </c>
      <c r="M49" s="2">
        <f t="shared" si="42"/>
        <v>0.83642142548030574</v>
      </c>
      <c r="N49" s="2">
        <f t="shared" si="43"/>
        <v>39.909833078074342</v>
      </c>
      <c r="P49" s="4">
        <f t="shared" si="44"/>
        <v>0.99901586085348337</v>
      </c>
      <c r="Q49" s="4">
        <f t="shared" si="45"/>
        <v>1.4274405353241377</v>
      </c>
      <c r="R49" s="4">
        <f t="shared" si="46"/>
        <v>2.6166260846174298E-2</v>
      </c>
      <c r="S49" s="4">
        <f t="shared" si="25"/>
        <v>0.92643460463996641</v>
      </c>
      <c r="T49" s="2">
        <f t="shared" si="26"/>
        <v>357.45768779949435</v>
      </c>
      <c r="U49" s="6">
        <f t="shared" si="47"/>
        <v>0.14138602534117647</v>
      </c>
      <c r="V49" s="4">
        <f t="shared" si="48"/>
        <v>0.14152530593496981</v>
      </c>
      <c r="W49" s="4">
        <f t="shared" si="49"/>
        <v>0.66044317299435296</v>
      </c>
      <c r="X49" s="3">
        <f t="shared" si="50"/>
        <v>27.261689220375629</v>
      </c>
      <c r="Y49" s="8">
        <f t="shared" si="51"/>
        <v>17.490589538288319</v>
      </c>
      <c r="Z49" s="3">
        <f t="shared" si="52"/>
        <v>20.91121652968722</v>
      </c>
      <c r="AA49" s="3">
        <f t="shared" si="53"/>
        <v>1487.1991257498621</v>
      </c>
      <c r="AB49" s="3"/>
      <c r="AC49" s="3"/>
      <c r="AD49" s="3"/>
    </row>
    <row r="50" spans="1:31">
      <c r="A50" s="7">
        <f t="shared" si="54"/>
        <v>490</v>
      </c>
      <c r="B50" s="3">
        <f t="shared" si="54"/>
        <v>-52.714500000000001</v>
      </c>
      <c r="D50" s="1">
        <f t="shared" si="33"/>
        <v>44</v>
      </c>
      <c r="E50" s="2">
        <f t="shared" si="55"/>
        <v>10</v>
      </c>
      <c r="F50" s="2">
        <f t="shared" si="55"/>
        <v>15.79673</v>
      </c>
      <c r="G50" s="2">
        <f t="shared" si="38"/>
        <v>11.169974903572971</v>
      </c>
      <c r="H50" s="2">
        <f t="shared" si="27"/>
        <v>-10.869565217391301</v>
      </c>
      <c r="I50" s="2">
        <f t="shared" si="22"/>
        <v>25</v>
      </c>
      <c r="J50" s="20">
        <f t="shared" si="39"/>
        <v>41.844934782608703</v>
      </c>
      <c r="K50" s="2">
        <f t="shared" si="40"/>
        <v>25</v>
      </c>
      <c r="L50" s="2">
        <f t="shared" si="41"/>
        <v>48.744215728235652</v>
      </c>
      <c r="M50" s="2">
        <f t="shared" si="42"/>
        <v>0.59744387534307553</v>
      </c>
      <c r="N50" s="2">
        <f t="shared" si="43"/>
        <v>30.855947468873445</v>
      </c>
      <c r="P50" s="4">
        <f t="shared" si="44"/>
        <v>1.0799334735424133</v>
      </c>
      <c r="Q50" s="4">
        <f t="shared" si="45"/>
        <v>1.646519248325431</v>
      </c>
      <c r="R50" s="4">
        <f t="shared" si="46"/>
        <v>3.3778761720268391E-2</v>
      </c>
      <c r="S50" s="4">
        <f t="shared" si="25"/>
        <v>0.92643460463996641</v>
      </c>
      <c r="T50" s="2">
        <f t="shared" si="26"/>
        <v>357.45768779949435</v>
      </c>
      <c r="U50" s="6">
        <f t="shared" si="47"/>
        <v>0.12633195415286044</v>
      </c>
      <c r="V50" s="4">
        <f t="shared" si="48"/>
        <v>0.11698123750018095</v>
      </c>
      <c r="W50" s="4">
        <f t="shared" si="49"/>
        <v>0.62608550340626634</v>
      </c>
      <c r="X50" s="3">
        <f t="shared" si="50"/>
        <v>24.336446756936926</v>
      </c>
      <c r="Y50" s="8">
        <f t="shared" si="51"/>
        <v>12.481710082597431</v>
      </c>
      <c r="Z50" s="3">
        <f t="shared" si="52"/>
        <v>20.891853775268761</v>
      </c>
      <c r="AA50" s="3">
        <f t="shared" si="53"/>
        <v>1186.2610107788544</v>
      </c>
      <c r="AB50" s="3"/>
      <c r="AC50" s="3"/>
      <c r="AD50" s="3"/>
    </row>
    <row r="51" spans="1:31">
      <c r="A51" s="7">
        <f t="shared" si="54"/>
        <v>490</v>
      </c>
      <c r="B51" s="3">
        <f t="shared" si="54"/>
        <v>-52.714500000000001</v>
      </c>
      <c r="D51" s="1">
        <f t="shared" si="33"/>
        <v>45</v>
      </c>
      <c r="E51" s="2">
        <f t="shared" si="55"/>
        <v>10</v>
      </c>
      <c r="F51" s="2">
        <f t="shared" si="55"/>
        <v>15.79673</v>
      </c>
      <c r="G51" s="2">
        <f t="shared" si="38"/>
        <v>11.169974903572971</v>
      </c>
      <c r="H51" s="2">
        <f t="shared" si="27"/>
        <v>-10.869565217391301</v>
      </c>
      <c r="I51" s="2">
        <f t="shared" si="22"/>
        <v>15</v>
      </c>
      <c r="J51" s="20">
        <f t="shared" si="39"/>
        <v>41.844934782608703</v>
      </c>
      <c r="K51" s="2">
        <f t="shared" si="40"/>
        <v>15</v>
      </c>
      <c r="L51" s="2">
        <f t="shared" si="41"/>
        <v>44.452205422912094</v>
      </c>
      <c r="M51" s="2">
        <f t="shared" si="42"/>
        <v>0.35846632520584532</v>
      </c>
      <c r="N51" s="2">
        <f t="shared" si="43"/>
        <v>19.721047025417267</v>
      </c>
      <c r="P51" s="4">
        <f t="shared" si="44"/>
        <v>1.2328539740393547</v>
      </c>
      <c r="Q51" s="4">
        <f t="shared" si="45"/>
        <v>2.0802192984022678</v>
      </c>
      <c r="R51" s="4">
        <f t="shared" si="46"/>
        <v>4.6796762469068769E-2</v>
      </c>
      <c r="S51" s="4">
        <f t="shared" si="25"/>
        <v>0.92643460463996641</v>
      </c>
      <c r="T51" s="2">
        <f t="shared" si="26"/>
        <v>357.45768779949435</v>
      </c>
      <c r="U51" s="6">
        <f t="shared" si="47"/>
        <v>0.11520821278139648</v>
      </c>
      <c r="V51" s="4">
        <f t="shared" si="48"/>
        <v>9.344838497289773E-2</v>
      </c>
      <c r="W51" s="4">
        <f t="shared" si="49"/>
        <v>0.58735255752499527</v>
      </c>
      <c r="X51" s="3">
        <f t="shared" si="50"/>
        <v>21.178947706459635</v>
      </c>
      <c r="Y51" s="8">
        <f t="shared" si="51"/>
        <v>7.1466468890461359</v>
      </c>
      <c r="Z51" s="3">
        <f t="shared" si="52"/>
        <v>19.936731532431264</v>
      </c>
      <c r="AA51" s="3">
        <f t="shared" si="53"/>
        <v>941.4509340886566</v>
      </c>
      <c r="AB51" s="3"/>
      <c r="AC51" s="3"/>
      <c r="AD51" s="3"/>
    </row>
    <row r="52" spans="1:31">
      <c r="A52" s="7">
        <f t="shared" si="54"/>
        <v>490</v>
      </c>
      <c r="B52" s="3">
        <f t="shared" si="54"/>
        <v>-52.714500000000001</v>
      </c>
      <c r="D52" s="1">
        <f t="shared" si="33"/>
        <v>46</v>
      </c>
      <c r="E52" s="2">
        <f t="shared" si="55"/>
        <v>10</v>
      </c>
      <c r="F52" s="2">
        <f t="shared" si="55"/>
        <v>15.79673</v>
      </c>
      <c r="G52" s="2">
        <f t="shared" si="38"/>
        <v>11.169974903572971</v>
      </c>
      <c r="H52" s="2">
        <f t="shared" si="27"/>
        <v>-10.869565217391301</v>
      </c>
      <c r="I52" s="2">
        <f t="shared" si="22"/>
        <v>5</v>
      </c>
      <c r="J52" s="20">
        <f t="shared" si="39"/>
        <v>41.844934782608703</v>
      </c>
      <c r="K52" s="2">
        <f t="shared" si="40"/>
        <v>5</v>
      </c>
      <c r="L52" s="2">
        <f t="shared" si="41"/>
        <v>42.142598009149552</v>
      </c>
      <c r="M52" s="2">
        <f t="shared" si="42"/>
        <v>0.11948877506861511</v>
      </c>
      <c r="N52" s="2">
        <f t="shared" si="43"/>
        <v>6.813896441036456</v>
      </c>
      <c r="P52" s="4">
        <f t="shared" si="44"/>
        <v>1.6453554701300199</v>
      </c>
      <c r="Q52" s="4">
        <f t="shared" si="45"/>
        <v>2.6854441000000002</v>
      </c>
      <c r="R52" s="4">
        <f t="shared" si="46"/>
        <v>6.3722794200228597E-2</v>
      </c>
      <c r="S52" s="4">
        <f t="shared" si="25"/>
        <v>0.92643460463996641</v>
      </c>
      <c r="T52" s="2">
        <f t="shared" si="26"/>
        <v>357.45768779949435</v>
      </c>
      <c r="U52" s="6">
        <f t="shared" si="47"/>
        <v>0.10922232884527354</v>
      </c>
      <c r="V52" s="4">
        <f t="shared" si="48"/>
        <v>6.6382207874291457E-2</v>
      </c>
      <c r="W52" s="4">
        <f t="shared" si="49"/>
        <v>0.53220503816176967</v>
      </c>
      <c r="X52" s="3">
        <f t="shared" si="50"/>
        <v>17.83459382025055</v>
      </c>
      <c r="Y52" s="8">
        <f t="shared" si="51"/>
        <v>2.1159817693700913</v>
      </c>
      <c r="Z52" s="3">
        <f t="shared" si="52"/>
        <v>17.708623828096087</v>
      </c>
      <c r="AA52" s="3">
        <f t="shared" si="53"/>
        <v>751.59611802328175</v>
      </c>
      <c r="AB52" s="3"/>
      <c r="AC52" s="3"/>
      <c r="AD52" s="3"/>
    </row>
    <row r="53" spans="1:31">
      <c r="A53" s="7"/>
      <c r="B53" s="3"/>
      <c r="D53" s="1"/>
      <c r="E53" s="2"/>
      <c r="F53" s="2"/>
      <c r="G53" s="2"/>
      <c r="H53" s="2"/>
      <c r="I53" s="2"/>
      <c r="J53" s="20"/>
      <c r="K53" s="2"/>
      <c r="L53" s="2"/>
      <c r="M53" s="2"/>
      <c r="N53" s="2"/>
      <c r="P53" s="4"/>
      <c r="Q53" s="4"/>
      <c r="R53" s="4"/>
      <c r="S53" s="4"/>
      <c r="T53" s="2"/>
      <c r="U53" s="6"/>
      <c r="V53" s="4"/>
      <c r="W53" s="4"/>
      <c r="X53" s="3"/>
      <c r="Y53" s="8"/>
      <c r="Z53" s="3"/>
      <c r="AA53" s="3"/>
      <c r="AB53" s="3"/>
      <c r="AC53" s="3"/>
      <c r="AD53" s="3"/>
    </row>
    <row r="54" spans="1:31">
      <c r="A54" s="7"/>
      <c r="B54" s="3"/>
      <c r="D54" s="1"/>
      <c r="E54" s="2"/>
      <c r="F54" s="2"/>
      <c r="G54" s="2"/>
      <c r="H54" s="2"/>
      <c r="I54" s="2"/>
      <c r="J54" s="20"/>
      <c r="K54" s="2"/>
      <c r="L54" s="2"/>
      <c r="M54" s="2"/>
      <c r="N54" s="2"/>
      <c r="P54" s="4"/>
      <c r="Q54" s="4"/>
      <c r="R54" s="4"/>
      <c r="S54" s="4"/>
      <c r="T54" s="2"/>
      <c r="U54" s="6"/>
      <c r="V54" s="4"/>
      <c r="W54" s="4"/>
      <c r="X54" s="3"/>
      <c r="Y54" s="8"/>
      <c r="Z54" s="3"/>
      <c r="AA54" s="3"/>
      <c r="AB54" s="3"/>
      <c r="AC54" s="3"/>
      <c r="AD54" s="3"/>
    </row>
    <row r="55" spans="1:31">
      <c r="A55" s="7"/>
      <c r="B55" s="3"/>
      <c r="D55" s="1"/>
      <c r="E55" s="2"/>
      <c r="F55" s="2"/>
      <c r="G55" s="2"/>
      <c r="H55" s="2"/>
      <c r="I55" s="2"/>
      <c r="J55" s="20"/>
      <c r="K55" s="2"/>
      <c r="L55" s="2"/>
      <c r="M55" s="2"/>
      <c r="N55" s="2"/>
      <c r="P55" s="4"/>
      <c r="Q55" s="4"/>
      <c r="R55" s="4"/>
      <c r="S55" s="4"/>
      <c r="T55" s="2"/>
      <c r="U55" s="6"/>
      <c r="V55" s="4"/>
      <c r="W55" s="4"/>
      <c r="X55" s="3"/>
      <c r="Y55" s="8"/>
      <c r="Z55" s="3"/>
      <c r="AA55" s="3"/>
      <c r="AB55" s="3"/>
      <c r="AC55" s="3"/>
      <c r="AD55" s="3"/>
    </row>
    <row r="56" spans="1:31">
      <c r="A56" s="7"/>
      <c r="B56" s="3"/>
      <c r="D56" s="1"/>
      <c r="E56" s="2"/>
      <c r="F56" s="2"/>
      <c r="G56" s="2"/>
      <c r="H56" s="2"/>
      <c r="I56" s="2"/>
      <c r="J56" s="20"/>
      <c r="K56" s="2"/>
      <c r="L56" s="2"/>
      <c r="M56" s="2"/>
      <c r="N56" s="2"/>
      <c r="P56" s="4"/>
      <c r="Q56" s="4"/>
      <c r="R56" s="4"/>
      <c r="S56" s="4"/>
      <c r="T56" s="2"/>
      <c r="U56" s="6"/>
      <c r="V56" s="4"/>
      <c r="W56" s="4"/>
      <c r="X56" s="3"/>
      <c r="Y56" s="8"/>
      <c r="Z56" s="3"/>
      <c r="AA56" s="3"/>
      <c r="AB56" s="3"/>
      <c r="AC56" s="3"/>
      <c r="AD56" s="3"/>
    </row>
    <row r="57" spans="1:31">
      <c r="A57" s="7"/>
      <c r="B57" s="3"/>
      <c r="D57" s="1"/>
      <c r="E57" s="2"/>
      <c r="F57" s="2"/>
      <c r="G57" s="2"/>
      <c r="H57" s="2"/>
      <c r="I57" s="2"/>
      <c r="J57" s="20"/>
      <c r="K57" s="2"/>
      <c r="L57" s="2"/>
      <c r="M57" s="2"/>
      <c r="N57" s="2"/>
      <c r="P57" s="4"/>
      <c r="Q57" s="4"/>
      <c r="R57" s="4"/>
      <c r="S57" s="4"/>
      <c r="T57" s="2"/>
      <c r="U57" s="6"/>
      <c r="V57" s="4"/>
      <c r="W57" s="4"/>
      <c r="X57" s="3"/>
      <c r="Y57" s="8"/>
      <c r="Z57" s="3"/>
      <c r="AA57" s="3"/>
      <c r="AB57" s="3"/>
      <c r="AC57" s="3"/>
      <c r="AD57" s="3"/>
    </row>
    <row r="58" spans="1:31">
      <c r="A58" s="7"/>
      <c r="B58" s="3"/>
      <c r="D58" s="1"/>
      <c r="E58" s="2"/>
      <c r="F58" s="2"/>
      <c r="G58" s="2"/>
      <c r="H58" s="2"/>
      <c r="I58" s="2"/>
      <c r="J58" s="20"/>
      <c r="K58" s="2"/>
      <c r="L58" s="2"/>
      <c r="M58" s="2"/>
      <c r="N58" s="2"/>
      <c r="P58" s="4"/>
      <c r="Q58" s="4"/>
      <c r="R58" s="4"/>
      <c r="S58" s="4"/>
      <c r="T58" s="2"/>
      <c r="U58" s="6"/>
      <c r="V58" s="4"/>
      <c r="W58" s="4"/>
      <c r="X58" s="3"/>
      <c r="Y58" s="8"/>
      <c r="Z58" s="3"/>
      <c r="AA58" s="3"/>
      <c r="AB58" s="3"/>
      <c r="AC58" s="3"/>
      <c r="AD58" s="3"/>
    </row>
    <row r="59" spans="1:31">
      <c r="A59" s="7"/>
      <c r="B59" s="3"/>
      <c r="D59" s="1"/>
      <c r="E59" s="2"/>
      <c r="F59" s="2"/>
      <c r="G59" s="2"/>
      <c r="H59" s="2"/>
      <c r="I59" s="2"/>
      <c r="J59" s="20"/>
      <c r="K59" s="2"/>
      <c r="L59" s="2"/>
      <c r="M59" s="2"/>
      <c r="N59" s="2"/>
      <c r="P59" s="4"/>
      <c r="Q59" s="4"/>
      <c r="R59" s="4"/>
      <c r="S59" s="4"/>
      <c r="T59" s="2"/>
      <c r="U59" s="6"/>
      <c r="V59" s="4"/>
      <c r="W59" s="4"/>
      <c r="X59" s="3"/>
      <c r="Y59" s="8"/>
      <c r="Z59" s="3"/>
      <c r="AA59" s="3"/>
      <c r="AB59" s="3"/>
      <c r="AC59" s="3"/>
      <c r="AD59" s="3"/>
    </row>
    <row r="60" spans="1:31"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X60" s="14" t="s">
        <v>26</v>
      </c>
      <c r="Y60" s="9">
        <f>ABS(SUM(Y3:Y59))</f>
        <v>1723.3519436821771</v>
      </c>
      <c r="Z60" s="19">
        <f>SUM(Z3:Z59)</f>
        <v>507.33161404338119</v>
      </c>
      <c r="AA60" s="10">
        <f>SUM(AA3:AA59)</f>
        <v>435530.36818528397</v>
      </c>
      <c r="AB60" s="3"/>
      <c r="AC60" s="3"/>
      <c r="AD60" s="3"/>
      <c r="AE60" s="15"/>
    </row>
    <row r="61" spans="1:31" ht="23.25" customHeight="1"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R61" s="5"/>
      <c r="X61" s="14" t="s">
        <v>25</v>
      </c>
      <c r="Y61" s="3">
        <f>0.75*Y60</f>
        <v>1292.5139577616328</v>
      </c>
      <c r="Z61" s="17">
        <f>0.75*Z60</f>
        <v>380.49871053253588</v>
      </c>
      <c r="AA61" s="18">
        <f>AA60/AB21</f>
        <v>507.33179999898113</v>
      </c>
      <c r="AB61" s="16" t="str">
        <f>IF(ABS(Z60-AA61)&lt;0.1,"balanced ro = "&amp;B3, "NG")</f>
        <v>balanced ro = -52.7145</v>
      </c>
      <c r="AC61" s="3"/>
    </row>
    <row r="62" spans="1:31"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Z62" s="21"/>
    </row>
    <row r="63" spans="1:31"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</row>
  </sheetData>
  <phoneticPr fontId="1" type="noConversion"/>
  <conditionalFormatting sqref="R3:R14 R17:R31">
    <cfRule type="cellIs" dxfId="151" priority="107" operator="equal">
      <formula>#REF!</formula>
    </cfRule>
  </conditionalFormatting>
  <conditionalFormatting sqref="R3:R14 R17:R31 R56 R58:R59">
    <cfRule type="cellIs" dxfId="150" priority="104" operator="equal">
      <formula>MIN($R$3:$R$59)</formula>
    </cfRule>
    <cfRule type="cellIs" dxfId="149" priority="105" operator="equal">
      <formula>0.05292</formula>
    </cfRule>
    <cfRule type="cellIs" dxfId="148" priority="106" operator="equal">
      <formula>MIN($R$3:$R$59)</formula>
    </cfRule>
  </conditionalFormatting>
  <conditionalFormatting sqref="R3:R14 R17:R31 R56 R58:R59">
    <cfRule type="cellIs" dxfId="147" priority="103" operator="equal">
      <formula>MIN($R$3:$R$59)</formula>
    </cfRule>
  </conditionalFormatting>
  <conditionalFormatting sqref="R32:R38">
    <cfRule type="cellIs" dxfId="146" priority="102" operator="equal">
      <formula>#REF!</formula>
    </cfRule>
  </conditionalFormatting>
  <conditionalFormatting sqref="R32:R38">
    <cfRule type="cellIs" dxfId="145" priority="99" operator="equal">
      <formula>MIN($R$3:$R$59)</formula>
    </cfRule>
    <cfRule type="cellIs" dxfId="144" priority="100" operator="equal">
      <formula>0.05292</formula>
    </cfRule>
    <cfRule type="cellIs" dxfId="143" priority="101" operator="equal">
      <formula>MIN($R$3:$R$59)</formula>
    </cfRule>
  </conditionalFormatting>
  <conditionalFormatting sqref="R32:R38">
    <cfRule type="cellIs" dxfId="142" priority="98" operator="equal">
      <formula>MIN($R$3:$R$59)</formula>
    </cfRule>
  </conditionalFormatting>
  <conditionalFormatting sqref="R39">
    <cfRule type="cellIs" dxfId="141" priority="97" operator="equal">
      <formula>#REF!</formula>
    </cfRule>
  </conditionalFormatting>
  <conditionalFormatting sqref="R39">
    <cfRule type="cellIs" dxfId="140" priority="94" operator="equal">
      <formula>MIN($R$3:$R$59)</formula>
    </cfRule>
    <cfRule type="cellIs" dxfId="139" priority="95" operator="equal">
      <formula>0.05292</formula>
    </cfRule>
    <cfRule type="cellIs" dxfId="138" priority="96" operator="equal">
      <formula>MIN($R$3:$R$59)</formula>
    </cfRule>
  </conditionalFormatting>
  <conditionalFormatting sqref="R39">
    <cfRule type="cellIs" dxfId="137" priority="93" operator="equal">
      <formula>MIN($R$3:$R$59)</formula>
    </cfRule>
  </conditionalFormatting>
  <conditionalFormatting sqref="R40">
    <cfRule type="cellIs" dxfId="136" priority="92" operator="equal">
      <formula>#REF!</formula>
    </cfRule>
  </conditionalFormatting>
  <conditionalFormatting sqref="R40">
    <cfRule type="cellIs" dxfId="135" priority="89" operator="equal">
      <formula>MIN($R$3:$R$59)</formula>
    </cfRule>
    <cfRule type="cellIs" dxfId="134" priority="90" operator="equal">
      <formula>0.05292</formula>
    </cfRule>
    <cfRule type="cellIs" dxfId="133" priority="91" operator="equal">
      <formula>MIN($R$3:$R$59)</formula>
    </cfRule>
  </conditionalFormatting>
  <conditionalFormatting sqref="R40">
    <cfRule type="cellIs" dxfId="132" priority="88" operator="equal">
      <formula>MIN($R$3:$R$59)</formula>
    </cfRule>
  </conditionalFormatting>
  <conditionalFormatting sqref="R41">
    <cfRule type="cellIs" dxfId="131" priority="87" operator="equal">
      <formula>#REF!</formula>
    </cfRule>
  </conditionalFormatting>
  <conditionalFormatting sqref="R41">
    <cfRule type="cellIs" dxfId="130" priority="84" operator="equal">
      <formula>MIN($R$3:$R$59)</formula>
    </cfRule>
    <cfRule type="cellIs" dxfId="129" priority="85" operator="equal">
      <formula>0.05292</formula>
    </cfRule>
    <cfRule type="cellIs" dxfId="128" priority="86" operator="equal">
      <formula>MIN($R$3:$R$59)</formula>
    </cfRule>
  </conditionalFormatting>
  <conditionalFormatting sqref="R41">
    <cfRule type="cellIs" dxfId="127" priority="83" operator="equal">
      <formula>MIN($R$3:$R$59)</formula>
    </cfRule>
  </conditionalFormatting>
  <conditionalFormatting sqref="R42">
    <cfRule type="cellIs" dxfId="126" priority="82" operator="equal">
      <formula>#REF!</formula>
    </cfRule>
  </conditionalFormatting>
  <conditionalFormatting sqref="R42">
    <cfRule type="cellIs" dxfId="125" priority="79" operator="equal">
      <formula>MIN($R$3:$R$59)</formula>
    </cfRule>
    <cfRule type="cellIs" dxfId="124" priority="80" operator="equal">
      <formula>0.05292</formula>
    </cfRule>
    <cfRule type="cellIs" dxfId="123" priority="81" operator="equal">
      <formula>MIN($R$3:$R$59)</formula>
    </cfRule>
  </conditionalFormatting>
  <conditionalFormatting sqref="R42">
    <cfRule type="cellIs" dxfId="122" priority="78" operator="equal">
      <formula>MIN($R$3:$R$59)</formula>
    </cfRule>
  </conditionalFormatting>
  <conditionalFormatting sqref="R43">
    <cfRule type="cellIs" dxfId="121" priority="77" operator="equal">
      <formula>#REF!</formula>
    </cfRule>
  </conditionalFormatting>
  <conditionalFormatting sqref="R43">
    <cfRule type="cellIs" dxfId="120" priority="74" operator="equal">
      <formula>MIN($R$3:$R$59)</formula>
    </cfRule>
    <cfRule type="cellIs" dxfId="119" priority="75" operator="equal">
      <formula>0.05292</formula>
    </cfRule>
    <cfRule type="cellIs" dxfId="118" priority="76" operator="equal">
      <formula>MIN($R$3:$R$59)</formula>
    </cfRule>
  </conditionalFormatting>
  <conditionalFormatting sqref="R43">
    <cfRule type="cellIs" dxfId="117" priority="73" operator="equal">
      <formula>MIN($R$3:$R$59)</formula>
    </cfRule>
  </conditionalFormatting>
  <conditionalFormatting sqref="R44">
    <cfRule type="cellIs" dxfId="116" priority="72" operator="equal">
      <formula>#REF!</formula>
    </cfRule>
  </conditionalFormatting>
  <conditionalFormatting sqref="R44">
    <cfRule type="cellIs" dxfId="115" priority="69" operator="equal">
      <formula>MIN($R$3:$R$59)</formula>
    </cfRule>
    <cfRule type="cellIs" dxfId="114" priority="70" operator="equal">
      <formula>0.05292</formula>
    </cfRule>
    <cfRule type="cellIs" dxfId="113" priority="71" operator="equal">
      <formula>MIN($R$3:$R$59)</formula>
    </cfRule>
  </conditionalFormatting>
  <conditionalFormatting sqref="R44">
    <cfRule type="cellIs" dxfId="112" priority="68" operator="equal">
      <formula>MIN($R$3:$R$59)</formula>
    </cfRule>
  </conditionalFormatting>
  <conditionalFormatting sqref="R45">
    <cfRule type="cellIs" dxfId="111" priority="67" operator="equal">
      <formula>#REF!</formula>
    </cfRule>
  </conditionalFormatting>
  <conditionalFormatting sqref="R45">
    <cfRule type="cellIs" dxfId="110" priority="64" operator="equal">
      <formula>MIN($R$3:$R$59)</formula>
    </cfRule>
    <cfRule type="cellIs" dxfId="109" priority="65" operator="equal">
      <formula>0.05292</formula>
    </cfRule>
    <cfRule type="cellIs" dxfId="108" priority="66" operator="equal">
      <formula>MIN($R$3:$R$59)</formula>
    </cfRule>
  </conditionalFormatting>
  <conditionalFormatting sqref="R45">
    <cfRule type="cellIs" dxfId="107" priority="63" operator="equal">
      <formula>MIN($R$3:$R$59)</formula>
    </cfRule>
  </conditionalFormatting>
  <conditionalFormatting sqref="R46">
    <cfRule type="cellIs" dxfId="106" priority="62" operator="equal">
      <formula>#REF!</formula>
    </cfRule>
  </conditionalFormatting>
  <conditionalFormatting sqref="R46">
    <cfRule type="cellIs" dxfId="105" priority="59" operator="equal">
      <formula>MIN($R$3:$R$59)</formula>
    </cfRule>
    <cfRule type="cellIs" dxfId="104" priority="60" operator="equal">
      <formula>0.05292</formula>
    </cfRule>
    <cfRule type="cellIs" dxfId="103" priority="61" operator="equal">
      <formula>MIN($R$3:$R$59)</formula>
    </cfRule>
  </conditionalFormatting>
  <conditionalFormatting sqref="R46">
    <cfRule type="cellIs" dxfId="102" priority="58" operator="equal">
      <formula>MIN($R$3:$R$59)</formula>
    </cfRule>
  </conditionalFormatting>
  <conditionalFormatting sqref="R47">
    <cfRule type="cellIs" dxfId="101" priority="57" operator="equal">
      <formula>#REF!</formula>
    </cfRule>
  </conditionalFormatting>
  <conditionalFormatting sqref="R47">
    <cfRule type="cellIs" dxfId="100" priority="54" operator="equal">
      <formula>MIN($R$3:$R$59)</formula>
    </cfRule>
    <cfRule type="cellIs" dxfId="99" priority="55" operator="equal">
      <formula>0.05292</formula>
    </cfRule>
    <cfRule type="cellIs" dxfId="98" priority="56" operator="equal">
      <formula>MIN($R$3:$R$59)</formula>
    </cfRule>
  </conditionalFormatting>
  <conditionalFormatting sqref="R47">
    <cfRule type="cellIs" dxfId="97" priority="53" operator="equal">
      <formula>MIN($R$3:$R$59)</formula>
    </cfRule>
  </conditionalFormatting>
  <conditionalFormatting sqref="R48">
    <cfRule type="cellIs" dxfId="96" priority="42" operator="equal">
      <formula>#REF!</formula>
    </cfRule>
  </conditionalFormatting>
  <conditionalFormatting sqref="R48">
    <cfRule type="cellIs" dxfId="95" priority="39" operator="equal">
      <formula>MIN($R$3:$R$59)</formula>
    </cfRule>
    <cfRule type="cellIs" dxfId="94" priority="40" operator="equal">
      <formula>0.05292</formula>
    </cfRule>
    <cfRule type="cellIs" dxfId="93" priority="41" operator="equal">
      <formula>MIN($R$3:$R$59)</formula>
    </cfRule>
  </conditionalFormatting>
  <conditionalFormatting sqref="R48">
    <cfRule type="cellIs" dxfId="92" priority="38" operator="equal">
      <formula>MIN($R$3:$R$59)</formula>
    </cfRule>
  </conditionalFormatting>
  <conditionalFormatting sqref="R49">
    <cfRule type="cellIs" dxfId="91" priority="37" operator="equal">
      <formula>#REF!</formula>
    </cfRule>
  </conditionalFormatting>
  <conditionalFormatting sqref="R49">
    <cfRule type="cellIs" dxfId="90" priority="34" operator="equal">
      <formula>MIN($R$3:$R$59)</formula>
    </cfRule>
    <cfRule type="cellIs" dxfId="89" priority="35" operator="equal">
      <formula>0.05292</formula>
    </cfRule>
    <cfRule type="cellIs" dxfId="88" priority="36" operator="equal">
      <formula>MIN($R$3:$R$59)</formula>
    </cfRule>
  </conditionalFormatting>
  <conditionalFormatting sqref="R49">
    <cfRule type="cellIs" dxfId="87" priority="33" operator="equal">
      <formula>MIN($R$3:$R$59)</formula>
    </cfRule>
  </conditionalFormatting>
  <conditionalFormatting sqref="R50">
    <cfRule type="cellIs" dxfId="86" priority="32" operator="equal">
      <formula>#REF!</formula>
    </cfRule>
  </conditionalFormatting>
  <conditionalFormatting sqref="R50">
    <cfRule type="cellIs" dxfId="85" priority="29" operator="equal">
      <formula>MIN($R$3:$R$59)</formula>
    </cfRule>
    <cfRule type="cellIs" dxfId="84" priority="30" operator="equal">
      <formula>0.05292</formula>
    </cfRule>
    <cfRule type="cellIs" dxfId="83" priority="31" operator="equal">
      <formula>MIN($R$3:$R$59)</formula>
    </cfRule>
  </conditionalFormatting>
  <conditionalFormatting sqref="R50">
    <cfRule type="cellIs" dxfId="82" priority="28" operator="equal">
      <formula>MIN($R$3:$R$59)</formula>
    </cfRule>
  </conditionalFormatting>
  <conditionalFormatting sqref="R51">
    <cfRule type="cellIs" dxfId="81" priority="27" operator="equal">
      <formula>#REF!</formula>
    </cfRule>
  </conditionalFormatting>
  <conditionalFormatting sqref="R51">
    <cfRule type="cellIs" dxfId="80" priority="24" operator="equal">
      <formula>MIN($R$3:$R$59)</formula>
    </cfRule>
    <cfRule type="cellIs" dxfId="79" priority="25" operator="equal">
      <formula>0.05292</formula>
    </cfRule>
    <cfRule type="cellIs" dxfId="78" priority="26" operator="equal">
      <formula>MIN($R$3:$R$59)</formula>
    </cfRule>
  </conditionalFormatting>
  <conditionalFormatting sqref="R51">
    <cfRule type="cellIs" dxfId="77" priority="23" operator="equal">
      <formula>MIN($R$3:$R$59)</formula>
    </cfRule>
  </conditionalFormatting>
  <conditionalFormatting sqref="R52 R56 R58:R59">
    <cfRule type="cellIs" dxfId="76" priority="22" operator="equal">
      <formula>#REF!</formula>
    </cfRule>
  </conditionalFormatting>
  <conditionalFormatting sqref="R52">
    <cfRule type="cellIs" dxfId="75" priority="19" operator="equal">
      <formula>MIN($R$3:$R$59)</formula>
    </cfRule>
    <cfRule type="cellIs" dxfId="74" priority="20" operator="equal">
      <formula>0.05292</formula>
    </cfRule>
    <cfRule type="cellIs" dxfId="73" priority="21" operator="equal">
      <formula>MIN($R$3:$R$59)</formula>
    </cfRule>
  </conditionalFormatting>
  <conditionalFormatting sqref="R52">
    <cfRule type="cellIs" dxfId="72" priority="18" operator="equal">
      <formula>MIN($R$3:$R$59)</formula>
    </cfRule>
  </conditionalFormatting>
  <conditionalFormatting sqref="R53:R54">
    <cfRule type="cellIs" dxfId="71" priority="17" operator="equal">
      <formula>#REF!</formula>
    </cfRule>
  </conditionalFormatting>
  <conditionalFormatting sqref="R53:R54">
    <cfRule type="cellIs" dxfId="70" priority="14" operator="equal">
      <formula>MIN($R$3:$R$59)</formula>
    </cfRule>
    <cfRule type="cellIs" dxfId="69" priority="15" operator="equal">
      <formula>0.05292</formula>
    </cfRule>
    <cfRule type="cellIs" dxfId="68" priority="16" operator="equal">
      <formula>MIN($R$3:$R$59)</formula>
    </cfRule>
  </conditionalFormatting>
  <conditionalFormatting sqref="R53:R54">
    <cfRule type="cellIs" dxfId="67" priority="13" operator="equal">
      <formula>MIN($R$3:$R$59)</formula>
    </cfRule>
  </conditionalFormatting>
  <conditionalFormatting sqref="R55">
    <cfRule type="cellIs" dxfId="66" priority="12" operator="equal">
      <formula>#REF!</formula>
    </cfRule>
  </conditionalFormatting>
  <conditionalFormatting sqref="R55">
    <cfRule type="cellIs" dxfId="65" priority="9" operator="equal">
      <formula>MIN($R$3:$R$59)</formula>
    </cfRule>
    <cfRule type="cellIs" dxfId="64" priority="10" operator="equal">
      <formula>0.05292</formula>
    </cfRule>
    <cfRule type="cellIs" dxfId="63" priority="11" operator="equal">
      <formula>MIN($R$3:$R$59)</formula>
    </cfRule>
  </conditionalFormatting>
  <conditionalFormatting sqref="R55">
    <cfRule type="cellIs" dxfId="62" priority="8" operator="equal">
      <formula>MIN($R$3:$R$59)</formula>
    </cfRule>
  </conditionalFormatting>
  <conditionalFormatting sqref="R57">
    <cfRule type="cellIs" dxfId="61" priority="5" operator="equal">
      <formula>MIN($R$3:$R$59)</formula>
    </cfRule>
    <cfRule type="cellIs" dxfId="60" priority="6" operator="equal">
      <formula>0.05292</formula>
    </cfRule>
    <cfRule type="cellIs" dxfId="59" priority="7" operator="equal">
      <formula>MIN($R$3:$R$59)</formula>
    </cfRule>
  </conditionalFormatting>
  <conditionalFormatting sqref="R57">
    <cfRule type="cellIs" dxfId="58" priority="4" operator="equal">
      <formula>MIN($R$3:$R$59)</formula>
    </cfRule>
  </conditionalFormatting>
  <conditionalFormatting sqref="R57">
    <cfRule type="cellIs" dxfId="57" priority="3" operator="equal">
      <formula>#REF!</formula>
    </cfRule>
  </conditionalFormatting>
  <conditionalFormatting sqref="F3">
    <cfRule type="expression" dxfId="56" priority="2">
      <formula>ABS($Z$61-$AC$18)&lt;0.001</formula>
    </cfRule>
  </conditionalFormatting>
  <conditionalFormatting sqref="B3">
    <cfRule type="expression" dxfId="55" priority="1">
      <formula>ABS($Z$60-$AA$61)&lt;0.001</formula>
    </cfRule>
  </conditionalFormatting>
  <pageMargins left="0.7" right="0.7" top="0.75" bottom="0.75" header="0.3" footer="0.3"/>
  <pageSetup paperSize="9" orientation="portrait" r:id="rId1"/>
  <ignoredErrors>
    <ignoredError sqref="J4:J12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63"/>
  <sheetViews>
    <sheetView zoomScale="85" zoomScaleNormal="85" workbookViewId="0">
      <selection activeCell="L15" sqref="L15"/>
    </sheetView>
  </sheetViews>
  <sheetFormatPr defaultRowHeight="16.5"/>
  <cols>
    <col min="1" max="2" width="9" customWidth="1"/>
    <col min="3" max="3" width="2.375" customWidth="1"/>
    <col min="8" max="8" width="8.875" hidden="1" customWidth="1"/>
    <col min="9" max="9" width="0" hidden="1" customWidth="1"/>
    <col min="10" max="10" width="8.875" customWidth="1"/>
    <col min="15" max="15" width="2.375" customWidth="1"/>
    <col min="16" max="17" width="9.375" bestFit="1" customWidth="1"/>
    <col min="18" max="18" width="10.375" bestFit="1" customWidth="1"/>
    <col min="19" max="20" width="9.375" customWidth="1"/>
    <col min="21" max="23" width="9.375" bestFit="1" customWidth="1"/>
    <col min="24" max="26" width="10.25" customWidth="1"/>
    <col min="27" max="27" width="15" customWidth="1"/>
    <col min="28" max="28" width="10.25" customWidth="1"/>
    <col min="29" max="29" width="13.75" customWidth="1"/>
    <col min="30" max="30" width="13.625" customWidth="1"/>
    <col min="31" max="31" width="13.375" bestFit="1" customWidth="1"/>
  </cols>
  <sheetData>
    <row r="1" spans="1:30" ht="22.5" customHeight="1">
      <c r="A1" s="11" t="s">
        <v>28</v>
      </c>
      <c r="B1" s="11" t="s">
        <v>37</v>
      </c>
      <c r="C1" s="12"/>
      <c r="D1" s="13" t="s">
        <v>1</v>
      </c>
      <c r="E1" s="11" t="s">
        <v>21</v>
      </c>
      <c r="F1" s="13" t="s">
        <v>2</v>
      </c>
      <c r="G1" s="13" t="s">
        <v>3</v>
      </c>
      <c r="H1" s="13" t="s">
        <v>38</v>
      </c>
      <c r="I1" s="13" t="s">
        <v>39</v>
      </c>
      <c r="J1" s="11" t="s">
        <v>42</v>
      </c>
      <c r="K1" s="11" t="s">
        <v>43</v>
      </c>
      <c r="L1" s="11" t="s">
        <v>165</v>
      </c>
      <c r="M1" s="13" t="s">
        <v>19</v>
      </c>
      <c r="N1" s="13" t="s">
        <v>20</v>
      </c>
      <c r="O1" s="12"/>
      <c r="P1" s="14" t="s">
        <v>6</v>
      </c>
      <c r="Q1" s="14" t="s">
        <v>7</v>
      </c>
      <c r="R1" s="14" t="s">
        <v>8</v>
      </c>
      <c r="S1" s="14" t="s">
        <v>22</v>
      </c>
      <c r="T1" s="14" t="s">
        <v>23</v>
      </c>
      <c r="U1" s="14" t="s">
        <v>9</v>
      </c>
      <c r="V1" s="14" t="s">
        <v>10</v>
      </c>
      <c r="W1" s="14" t="s">
        <v>12</v>
      </c>
      <c r="X1" s="14" t="s">
        <v>13</v>
      </c>
      <c r="Y1" s="14" t="s">
        <v>14</v>
      </c>
      <c r="Z1" s="14" t="s">
        <v>15</v>
      </c>
      <c r="AA1" s="14" t="s">
        <v>16</v>
      </c>
      <c r="AB1" s="14" t="s">
        <v>40</v>
      </c>
      <c r="AC1" s="15"/>
    </row>
    <row r="2" spans="1:30" ht="22.5" customHeight="1">
      <c r="A2" s="11" t="s">
        <v>24</v>
      </c>
      <c r="B2" s="11" t="s">
        <v>4</v>
      </c>
      <c r="C2" s="12"/>
      <c r="D2" s="13" t="s">
        <v>0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44</v>
      </c>
      <c r="N2" s="13" t="s">
        <v>5</v>
      </c>
      <c r="O2" s="12"/>
      <c r="P2" s="13" t="s">
        <v>4</v>
      </c>
      <c r="Q2" s="13" t="s">
        <v>4</v>
      </c>
      <c r="R2" s="13"/>
      <c r="S2" s="13" t="s">
        <v>4</v>
      </c>
      <c r="T2" s="13" t="s">
        <v>4</v>
      </c>
      <c r="U2" s="13" t="s">
        <v>4</v>
      </c>
      <c r="V2" s="14" t="s">
        <v>11</v>
      </c>
      <c r="W2" s="13"/>
      <c r="X2" s="13" t="s">
        <v>18</v>
      </c>
      <c r="Y2" s="13" t="s">
        <v>18</v>
      </c>
      <c r="Z2" s="13" t="s">
        <v>18</v>
      </c>
      <c r="AA2" s="13" t="s">
        <v>17</v>
      </c>
      <c r="AB2" s="14" t="s">
        <v>4</v>
      </c>
      <c r="AC2" s="15"/>
    </row>
    <row r="3" spans="1:30">
      <c r="A3" s="7">
        <f>stiffener_C_shaped_weld!J30</f>
        <v>490</v>
      </c>
      <c r="B3" s="3">
        <v>-51.018500000000003</v>
      </c>
      <c r="D3" s="1">
        <v>1</v>
      </c>
      <c r="E3" s="2">
        <v>10</v>
      </c>
      <c r="F3" s="20">
        <v>22.030809999999999</v>
      </c>
      <c r="G3" s="2">
        <f>F3/SQRT(2)</f>
        <v>15.578135146032402</v>
      </c>
      <c r="H3" s="20">
        <f t="shared" ref="H3:H12" si="0">(MAX($D$3:$D$14)-D3+0.5)*E3-$AB$3</f>
        <v>85.566037735849051</v>
      </c>
      <c r="I3" s="2">
        <f>(MAX(D17:D59)-MAX(D3:D14))*E17</f>
        <v>430</v>
      </c>
      <c r="J3" s="20">
        <f>H3-B3</f>
        <v>136.58453773584904</v>
      </c>
      <c r="K3" s="2">
        <f>I3</f>
        <v>430</v>
      </c>
      <c r="L3" s="2">
        <f>SQRT(J3^2+K3^2)</f>
        <v>451.17107171062679</v>
      </c>
      <c r="M3" s="2">
        <f>ABS(J3/K3)</f>
        <v>0.31763845985081174</v>
      </c>
      <c r="N3" s="2">
        <f>ATAN(M3)*180/PI()</f>
        <v>17.621849698263951</v>
      </c>
      <c r="P3" s="4">
        <f>0.209 * (N3+2)^-0.32 * F3</f>
        <v>1.7762331407360004</v>
      </c>
      <c r="Q3" s="4">
        <f>MIN(1.087*(N3+6)^-0.65 * F3, 0.17*F3)</f>
        <v>3.0662387860737734</v>
      </c>
      <c r="R3" s="4">
        <f>Q3/L3</f>
        <v>6.7961777213420395E-3</v>
      </c>
      <c r="S3" s="4">
        <f t="shared" ref="S3:S12" si="1">INDEX($Q$3:$Q$59, MATCH(MIN($R$3:$R$59),$R$3:$R$59,0))</f>
        <v>1.2814870515859365</v>
      </c>
      <c r="T3" s="2">
        <f t="shared" ref="T3:T12" si="2">INDEX($L$3:$L$59, MATCH(MIN($R$3:$R$59),$R$3:$R$59,0))</f>
        <v>427.02959356314437</v>
      </c>
      <c r="U3" s="6">
        <f>S3*L3/T3</f>
        <v>1.3539340016766894</v>
      </c>
      <c r="V3" s="4">
        <f>U3/P3</f>
        <v>0.76225016335168316</v>
      </c>
      <c r="W3" s="4">
        <f>POWER(V3*(1.9-0.9*V3),0.3)</f>
        <v>0.97699460381738046</v>
      </c>
      <c r="X3" s="3">
        <f>0.6*A3*G3*E3*(1+0.5*SIN(N3*PI()/180)^1.5)*W3/1000</f>
        <v>48.472699207723309</v>
      </c>
      <c r="Y3" s="8">
        <f>X3*COS(N3*PI()/180)</f>
        <v>46.19813185338603</v>
      </c>
      <c r="Z3" s="3">
        <f>X3*SIN(N3*PI()/180)</f>
        <v>14.674303449894264</v>
      </c>
      <c r="AA3" s="3">
        <f>L3*X3</f>
        <v>21869.479650255376</v>
      </c>
      <c r="AB3" s="3">
        <f>(MAX(D3:D14)*E3*G3*MAX(D3:D14)*E3/2)/(MAX(D3:D14)*E3*G3+I3*G3)</f>
        <v>9.4339622641509422</v>
      </c>
      <c r="AC3" s="3"/>
      <c r="AD3" s="15"/>
    </row>
    <row r="4" spans="1:30">
      <c r="A4" s="7">
        <f>A3</f>
        <v>490</v>
      </c>
      <c r="B4" s="3">
        <f t="shared" ref="A4:B19" si="3">B3</f>
        <v>-51.018500000000003</v>
      </c>
      <c r="D4" s="1">
        <f>D3+1</f>
        <v>2</v>
      </c>
      <c r="E4" s="2">
        <f>E3</f>
        <v>10</v>
      </c>
      <c r="F4" s="2">
        <f>F3</f>
        <v>22.030809999999999</v>
      </c>
      <c r="G4" s="2">
        <f t="shared" ref="G4:G42" si="4">F4/SQRT(2)</f>
        <v>15.578135146032402</v>
      </c>
      <c r="H4" s="20">
        <f t="shared" si="0"/>
        <v>75.566037735849051</v>
      </c>
      <c r="I4" s="2">
        <f>I3</f>
        <v>430</v>
      </c>
      <c r="J4" s="20">
        <f t="shared" ref="J4:J12" si="5">H4-B4</f>
        <v>126.58453773584905</v>
      </c>
      <c r="K4" s="2">
        <f>K3</f>
        <v>430</v>
      </c>
      <c r="L4" s="2">
        <f t="shared" ref="L4:L12" si="6">SQRT(J4^2+K4^2)</f>
        <v>448.2450726932741</v>
      </c>
      <c r="M4" s="2">
        <f t="shared" ref="M4:M12" si="7">ABS(J4/K4)</f>
        <v>0.29438264589732338</v>
      </c>
      <c r="N4" s="2">
        <f t="shared" ref="N4:N12" si="8">ATAN(M4)*180/PI()</f>
        <v>16.403513783728286</v>
      </c>
      <c r="P4" s="4">
        <f t="shared" ref="P4:P42" si="9">0.209 * (N4+2)^-0.32 * F4</f>
        <v>1.8130446969240663</v>
      </c>
      <c r="Q4" s="4">
        <f t="shared" ref="Q4:Q42" si="10">MIN(1.087*(N4+6)^-0.65 * F4, 0.17*F4)</f>
        <v>3.1736170370902848</v>
      </c>
      <c r="R4" s="4">
        <f t="shared" ref="R4:R42" si="11">Q4/L4</f>
        <v>7.0800935256725792E-3</v>
      </c>
      <c r="S4" s="4">
        <f t="shared" si="1"/>
        <v>1.2814870515859365</v>
      </c>
      <c r="T4" s="2">
        <f t="shared" si="2"/>
        <v>427.02959356314437</v>
      </c>
      <c r="U4" s="6">
        <f t="shared" ref="U4:U42" si="12">S4*L4/T4</f>
        <v>1.3451532756796836</v>
      </c>
      <c r="V4" s="4">
        <f t="shared" ref="V4:V42" si="13">U4/P4</f>
        <v>0.74193056462524765</v>
      </c>
      <c r="W4" s="4">
        <f t="shared" ref="W4:W42" si="14">POWER(V4*(1.9-0.9*V4),0.3)</f>
        <v>0.97346411716135128</v>
      </c>
      <c r="X4" s="3">
        <f t="shared" ref="X4:X42" si="15">0.6*A4*G4*E4*(1+0.5*SIN(N4*PI()/180)^1.5)*W4/1000</f>
        <v>47.929799887535616</v>
      </c>
      <c r="Y4" s="8">
        <f t="shared" ref="Y4:Y12" si="16">X4*COS(N4*PI()/180)</f>
        <v>45.978896829376268</v>
      </c>
      <c r="Z4" s="3">
        <f t="shared" ref="Z4:Z12" si="17">X4*SIN(N4*PI()/180)</f>
        <v>13.535389304071836</v>
      </c>
      <c r="AA4" s="3">
        <f t="shared" ref="AA4:AA42" si="18">L4*X4</f>
        <v>21484.296634762482</v>
      </c>
      <c r="AB4" s="3">
        <f>I3-(MAX(D3:D14)*E3*G3*G3/2+I3*G3*I3/2)/(MAX(D3:D14)*E3*G3+I3*G3)</f>
        <v>254.09640234471397</v>
      </c>
      <c r="AC4" s="3"/>
      <c r="AD4" s="15"/>
    </row>
    <row r="5" spans="1:30">
      <c r="A5" s="7">
        <f t="shared" si="3"/>
        <v>490</v>
      </c>
      <c r="B5" s="3">
        <f t="shared" si="3"/>
        <v>-51.018500000000003</v>
      </c>
      <c r="D5" s="1">
        <f t="shared" ref="D5:D12" si="19">D4+1</f>
        <v>3</v>
      </c>
      <c r="E5" s="2">
        <f t="shared" ref="E5:F20" si="20">E4</f>
        <v>10</v>
      </c>
      <c r="F5" s="2">
        <f t="shared" si="20"/>
        <v>22.030809999999999</v>
      </c>
      <c r="G5" s="2">
        <f t="shared" si="4"/>
        <v>15.578135146032402</v>
      </c>
      <c r="H5" s="20">
        <f t="shared" si="0"/>
        <v>65.566037735849051</v>
      </c>
      <c r="I5" s="2">
        <f t="shared" ref="I5:K12" si="21">I4</f>
        <v>430</v>
      </c>
      <c r="J5" s="20">
        <f t="shared" si="5"/>
        <v>116.58453773584905</v>
      </c>
      <c r="K5" s="2">
        <f t="shared" si="21"/>
        <v>430</v>
      </c>
      <c r="L5" s="2">
        <f t="shared" si="6"/>
        <v>445.52435897387431</v>
      </c>
      <c r="M5" s="2">
        <f t="shared" si="7"/>
        <v>0.27112683194383502</v>
      </c>
      <c r="N5" s="2">
        <f t="shared" si="8"/>
        <v>15.169733932930546</v>
      </c>
      <c r="P5" s="4">
        <f t="shared" si="9"/>
        <v>1.8537553193357588</v>
      </c>
      <c r="Q5" s="4">
        <f t="shared" si="10"/>
        <v>3.2926456820869299</v>
      </c>
      <c r="R5" s="4">
        <f t="shared" si="11"/>
        <v>7.3904953023679939E-3</v>
      </c>
      <c r="S5" s="4">
        <f t="shared" si="1"/>
        <v>1.2814870515859365</v>
      </c>
      <c r="T5" s="2">
        <f t="shared" si="2"/>
        <v>427.02959356314437</v>
      </c>
      <c r="U5" s="6">
        <f t="shared" si="12"/>
        <v>1.3369885970367092</v>
      </c>
      <c r="V5" s="4">
        <f t="shared" si="13"/>
        <v>0.72123250738170863</v>
      </c>
      <c r="W5" s="4">
        <f t="shared" si="14"/>
        <v>0.96959061134963109</v>
      </c>
      <c r="X5" s="3">
        <f t="shared" si="15"/>
        <v>47.379158303556146</v>
      </c>
      <c r="Y5" s="8">
        <f t="shared" si="16"/>
        <v>45.728224866204954</v>
      </c>
      <c r="Z5" s="3">
        <f t="shared" si="17"/>
        <v>12.398148738389448</v>
      </c>
      <c r="AA5" s="3">
        <f t="shared" si="18"/>
        <v>21108.569131913566</v>
      </c>
      <c r="AB5" s="3"/>
      <c r="AC5" s="3"/>
      <c r="AD5" s="15"/>
    </row>
    <row r="6" spans="1:30">
      <c r="A6" s="7">
        <f t="shared" si="3"/>
        <v>490</v>
      </c>
      <c r="B6" s="3">
        <f t="shared" si="3"/>
        <v>-51.018500000000003</v>
      </c>
      <c r="D6" s="1">
        <f t="shared" si="19"/>
        <v>4</v>
      </c>
      <c r="E6" s="2">
        <f t="shared" si="20"/>
        <v>10</v>
      </c>
      <c r="F6" s="2">
        <f t="shared" si="20"/>
        <v>22.030809999999999</v>
      </c>
      <c r="G6" s="2">
        <f t="shared" si="4"/>
        <v>15.578135146032402</v>
      </c>
      <c r="H6" s="20">
        <f t="shared" si="0"/>
        <v>55.566037735849058</v>
      </c>
      <c r="I6" s="2">
        <f t="shared" si="21"/>
        <v>430</v>
      </c>
      <c r="J6" s="20">
        <f t="shared" si="5"/>
        <v>106.58453773584907</v>
      </c>
      <c r="K6" s="2">
        <f t="shared" si="21"/>
        <v>430</v>
      </c>
      <c r="L6" s="2">
        <f t="shared" si="6"/>
        <v>443.01271277962741</v>
      </c>
      <c r="M6" s="2">
        <f t="shared" si="7"/>
        <v>0.24787101799034666</v>
      </c>
      <c r="N6" s="2">
        <f t="shared" si="8"/>
        <v>13.921379791623544</v>
      </c>
      <c r="P6" s="4">
        <f t="shared" si="9"/>
        <v>1.899078541032136</v>
      </c>
      <c r="Q6" s="4">
        <f t="shared" si="10"/>
        <v>3.4253297712554809</v>
      </c>
      <c r="R6" s="4">
        <f t="shared" si="11"/>
        <v>7.7318994973387583E-3</v>
      </c>
      <c r="S6" s="4">
        <f t="shared" si="1"/>
        <v>1.2814870515859365</v>
      </c>
      <c r="T6" s="2">
        <f t="shared" si="2"/>
        <v>427.02959356314437</v>
      </c>
      <c r="U6" s="6">
        <f t="shared" si="12"/>
        <v>1.3294513159568755</v>
      </c>
      <c r="V6" s="4">
        <f t="shared" si="13"/>
        <v>0.7000507284097518</v>
      </c>
      <c r="W6" s="4">
        <f t="shared" si="14"/>
        <v>0.96532885042223116</v>
      </c>
      <c r="X6" s="3">
        <f t="shared" si="15"/>
        <v>46.820494336884572</v>
      </c>
      <c r="Y6" s="8">
        <f t="shared" si="16"/>
        <v>45.445225349267233</v>
      </c>
      <c r="Z6" s="3">
        <f t="shared" si="17"/>
        <v>11.264554270123577</v>
      </c>
      <c r="AA6" s="3">
        <f t="shared" si="18"/>
        <v>20742.074209866416</v>
      </c>
      <c r="AB6" s="3"/>
      <c r="AC6" s="3"/>
      <c r="AD6" s="15"/>
    </row>
    <row r="7" spans="1:30">
      <c r="A7" s="7">
        <f t="shared" si="3"/>
        <v>490</v>
      </c>
      <c r="B7" s="3">
        <f t="shared" si="3"/>
        <v>-51.018500000000003</v>
      </c>
      <c r="D7" s="1">
        <f t="shared" si="19"/>
        <v>5</v>
      </c>
      <c r="E7" s="2">
        <f t="shared" si="20"/>
        <v>10</v>
      </c>
      <c r="F7" s="2">
        <f t="shared" si="20"/>
        <v>22.030809999999999</v>
      </c>
      <c r="G7" s="2">
        <f t="shared" si="4"/>
        <v>15.578135146032402</v>
      </c>
      <c r="H7" s="20">
        <f t="shared" si="0"/>
        <v>45.566037735849058</v>
      </c>
      <c r="I7" s="2">
        <f t="shared" si="21"/>
        <v>430</v>
      </c>
      <c r="J7" s="20">
        <f t="shared" si="5"/>
        <v>96.584537735849068</v>
      </c>
      <c r="K7" s="2">
        <f t="shared" si="21"/>
        <v>430</v>
      </c>
      <c r="L7" s="2">
        <f t="shared" si="6"/>
        <v>440.71370857921772</v>
      </c>
      <c r="M7" s="2">
        <f t="shared" si="7"/>
        <v>0.22461520403685831</v>
      </c>
      <c r="N7" s="2">
        <f t="shared" si="8"/>
        <v>12.659396935557892</v>
      </c>
      <c r="P7" s="4">
        <f t="shared" si="9"/>
        <v>1.9499325891701687</v>
      </c>
      <c r="Q7" s="4">
        <f t="shared" si="10"/>
        <v>3.5741812062814704</v>
      </c>
      <c r="R7" s="4">
        <f t="shared" si="11"/>
        <v>8.1099841840726761E-3</v>
      </c>
      <c r="S7" s="4">
        <f t="shared" si="1"/>
        <v>1.2814870515859365</v>
      </c>
      <c r="T7" s="2">
        <f t="shared" si="2"/>
        <v>427.02959356314437</v>
      </c>
      <c r="U7" s="6">
        <f t="shared" si="12"/>
        <v>1.3225521591799787</v>
      </c>
      <c r="V7" s="4">
        <f t="shared" si="13"/>
        <v>0.67825532355598828</v>
      </c>
      <c r="W7" s="4">
        <f t="shared" si="14"/>
        <v>0.96061963833508102</v>
      </c>
      <c r="X7" s="3">
        <f t="shared" si="15"/>
        <v>46.25300018050487</v>
      </c>
      <c r="Y7" s="8">
        <f t="shared" si="16"/>
        <v>45.128594120058125</v>
      </c>
      <c r="Z7" s="3">
        <f t="shared" si="17"/>
        <v>10.13656837617342</v>
      </c>
      <c r="AA7" s="3">
        <f t="shared" si="18"/>
        <v>20384.331242465527</v>
      </c>
      <c r="AB7" s="3"/>
      <c r="AC7" s="3"/>
      <c r="AD7" s="15"/>
    </row>
    <row r="8" spans="1:30">
      <c r="A8" s="7">
        <f t="shared" si="3"/>
        <v>490</v>
      </c>
      <c r="B8" s="3">
        <f t="shared" si="3"/>
        <v>-51.018500000000003</v>
      </c>
      <c r="D8" s="1">
        <f t="shared" si="19"/>
        <v>6</v>
      </c>
      <c r="E8" s="2">
        <f t="shared" si="20"/>
        <v>10</v>
      </c>
      <c r="F8" s="2">
        <f t="shared" si="20"/>
        <v>22.030809999999999</v>
      </c>
      <c r="G8" s="2">
        <f t="shared" si="4"/>
        <v>15.578135146032402</v>
      </c>
      <c r="H8" s="20">
        <f t="shared" si="0"/>
        <v>35.566037735849058</v>
      </c>
      <c r="I8" s="2">
        <f t="shared" si="21"/>
        <v>430</v>
      </c>
      <c r="J8" s="20">
        <f t="shared" si="5"/>
        <v>86.584537735849068</v>
      </c>
      <c r="K8" s="2">
        <f t="shared" si="21"/>
        <v>430</v>
      </c>
      <c r="L8" s="2">
        <f t="shared" si="6"/>
        <v>438.63068996016534</v>
      </c>
      <c r="M8" s="2">
        <f t="shared" si="7"/>
        <v>0.20135939008336992</v>
      </c>
      <c r="N8" s="2">
        <f t="shared" si="8"/>
        <v>11.38480450680386</v>
      </c>
      <c r="P8" s="4">
        <f t="shared" si="9"/>
        <v>2.0075247153976603</v>
      </c>
      <c r="Q8" s="4">
        <f t="shared" si="10"/>
        <v>3.7423950644258346</v>
      </c>
      <c r="R8" s="4">
        <f t="shared" si="11"/>
        <v>8.5319954806757914E-3</v>
      </c>
      <c r="S8" s="4">
        <f t="shared" si="1"/>
        <v>1.2814870515859365</v>
      </c>
      <c r="T8" s="2">
        <f t="shared" si="2"/>
        <v>427.02959356314437</v>
      </c>
      <c r="U8" s="6">
        <f t="shared" si="12"/>
        <v>1.3163011605869892</v>
      </c>
      <c r="V8" s="4">
        <f t="shared" si="13"/>
        <v>0.65568366381295073</v>
      </c>
      <c r="W8" s="4">
        <f t="shared" si="14"/>
        <v>0.95538458588606423</v>
      </c>
      <c r="X8" s="3">
        <f t="shared" si="15"/>
        <v>45.675114433534951</v>
      </c>
      <c r="Y8" s="8">
        <f t="shared" si="16"/>
        <v>44.776390836226447</v>
      </c>
      <c r="Z8" s="3">
        <f t="shared" si="17"/>
        <v>9.0161467489171514</v>
      </c>
      <c r="AA8" s="3">
        <f t="shared" si="18"/>
        <v>20034.506957990943</v>
      </c>
      <c r="AB8" s="3"/>
      <c r="AC8" s="3"/>
      <c r="AD8" s="15"/>
    </row>
    <row r="9" spans="1:30">
      <c r="A9" s="7">
        <f t="shared" si="3"/>
        <v>490</v>
      </c>
      <c r="B9" s="3">
        <f t="shared" si="3"/>
        <v>-51.018500000000003</v>
      </c>
      <c r="D9" s="1">
        <f t="shared" si="19"/>
        <v>7</v>
      </c>
      <c r="E9" s="2">
        <f t="shared" si="20"/>
        <v>10</v>
      </c>
      <c r="F9" s="2">
        <f t="shared" si="20"/>
        <v>22.030809999999999</v>
      </c>
      <c r="G9" s="2">
        <f t="shared" si="4"/>
        <v>15.578135146032402</v>
      </c>
      <c r="H9" s="20">
        <f t="shared" si="0"/>
        <v>25.566037735849058</v>
      </c>
      <c r="I9" s="2">
        <f t="shared" si="21"/>
        <v>430</v>
      </c>
      <c r="J9" s="20">
        <f t="shared" si="5"/>
        <v>76.584537735849068</v>
      </c>
      <c r="K9" s="2">
        <f t="shared" si="21"/>
        <v>430</v>
      </c>
      <c r="L9" s="2">
        <f t="shared" si="6"/>
        <v>436.76674715483284</v>
      </c>
      <c r="M9" s="2">
        <f t="shared" si="7"/>
        <v>0.17810357612988156</v>
      </c>
      <c r="N9" s="2">
        <f t="shared" si="8"/>
        <v>10.098691950878266</v>
      </c>
      <c r="P9" s="4">
        <f t="shared" si="9"/>
        <v>2.0734828947986186</v>
      </c>
      <c r="Q9" s="4">
        <f t="shared" si="10"/>
        <v>3.7452377000000001</v>
      </c>
      <c r="R9" s="4">
        <f t="shared" si="11"/>
        <v>8.5749149274688755E-3</v>
      </c>
      <c r="S9" s="4">
        <f t="shared" si="1"/>
        <v>1.2814870515859365</v>
      </c>
      <c r="T9" s="2">
        <f t="shared" si="2"/>
        <v>427.02959356314437</v>
      </c>
      <c r="U9" s="6">
        <f t="shared" si="12"/>
        <v>1.3107075937571129</v>
      </c>
      <c r="V9" s="4">
        <f t="shared" si="13"/>
        <v>0.63212848152500034</v>
      </c>
      <c r="W9" s="4">
        <f t="shared" si="14"/>
        <v>0.94951817563257779</v>
      </c>
      <c r="X9" s="3">
        <f t="shared" si="15"/>
        <v>45.084180419691307</v>
      </c>
      <c r="Y9" s="8">
        <f t="shared" si="16"/>
        <v>44.385699476326891</v>
      </c>
      <c r="Z9" s="3">
        <f t="shared" si="17"/>
        <v>7.9052518057600292</v>
      </c>
      <c r="AA9" s="3">
        <f t="shared" si="18"/>
        <v>19691.27083005018</v>
      </c>
      <c r="AB9" s="3"/>
      <c r="AC9" s="3"/>
      <c r="AD9" s="15"/>
    </row>
    <row r="10" spans="1:30">
      <c r="A10" s="7">
        <f t="shared" si="3"/>
        <v>490</v>
      </c>
      <c r="B10" s="3">
        <f t="shared" si="3"/>
        <v>-51.018500000000003</v>
      </c>
      <c r="D10" s="1">
        <f t="shared" si="19"/>
        <v>8</v>
      </c>
      <c r="E10" s="2">
        <f t="shared" si="20"/>
        <v>10</v>
      </c>
      <c r="F10" s="2">
        <f t="shared" si="20"/>
        <v>22.030809999999999</v>
      </c>
      <c r="G10" s="2">
        <f t="shared" si="4"/>
        <v>15.578135146032402</v>
      </c>
      <c r="H10" s="20">
        <f t="shared" si="0"/>
        <v>15.566037735849058</v>
      </c>
      <c r="I10" s="2">
        <f t="shared" si="21"/>
        <v>430</v>
      </c>
      <c r="J10" s="20">
        <f t="shared" si="5"/>
        <v>66.584537735849068</v>
      </c>
      <c r="K10" s="2">
        <f t="shared" si="21"/>
        <v>430</v>
      </c>
      <c r="L10" s="2">
        <f t="shared" si="6"/>
        <v>435.12469553622986</v>
      </c>
      <c r="M10" s="2">
        <f t="shared" si="7"/>
        <v>0.15484776217639318</v>
      </c>
      <c r="N10" s="2">
        <f t="shared" si="8"/>
        <v>8.8022148485253897</v>
      </c>
      <c r="P10" s="4">
        <f t="shared" si="9"/>
        <v>2.1500702581816236</v>
      </c>
      <c r="Q10" s="4">
        <f t="shared" si="10"/>
        <v>3.7452377000000001</v>
      </c>
      <c r="R10" s="4">
        <f t="shared" si="11"/>
        <v>8.6072745087118589E-3</v>
      </c>
      <c r="S10" s="4">
        <f t="shared" si="1"/>
        <v>1.2814870515859365</v>
      </c>
      <c r="T10" s="2">
        <f t="shared" si="2"/>
        <v>427.02959356314437</v>
      </c>
      <c r="U10" s="6">
        <f t="shared" si="12"/>
        <v>1.3057799074351479</v>
      </c>
      <c r="V10" s="4">
        <f t="shared" si="13"/>
        <v>0.60731964570287278</v>
      </c>
      <c r="W10" s="4">
        <f t="shared" si="14"/>
        <v>0.94287525145132911</v>
      </c>
      <c r="X10" s="3">
        <f t="shared" si="15"/>
        <v>44.47590800443357</v>
      </c>
      <c r="Y10" s="8">
        <f t="shared" si="16"/>
        <v>43.952091522495671</v>
      </c>
      <c r="Z10" s="3">
        <f t="shared" si="17"/>
        <v>6.8058830152304752</v>
      </c>
      <c r="AA10" s="3">
        <f t="shared" si="18"/>
        <v>19352.565929126526</v>
      </c>
      <c r="AB10" s="3"/>
      <c r="AC10" s="3"/>
      <c r="AD10" s="15"/>
    </row>
    <row r="11" spans="1:30">
      <c r="A11" s="7">
        <f t="shared" si="3"/>
        <v>490</v>
      </c>
      <c r="B11" s="3">
        <f t="shared" si="3"/>
        <v>-51.018500000000003</v>
      </c>
      <c r="D11" s="1">
        <f t="shared" si="19"/>
        <v>9</v>
      </c>
      <c r="E11" s="2">
        <f t="shared" si="20"/>
        <v>10</v>
      </c>
      <c r="F11" s="2">
        <f t="shared" si="20"/>
        <v>22.030809999999999</v>
      </c>
      <c r="G11" s="2">
        <f t="shared" si="4"/>
        <v>15.578135146032402</v>
      </c>
      <c r="H11" s="20">
        <f t="shared" si="0"/>
        <v>5.5660377358490578</v>
      </c>
      <c r="I11" s="2">
        <f t="shared" si="21"/>
        <v>430</v>
      </c>
      <c r="J11" s="20">
        <f t="shared" si="5"/>
        <v>56.584537735849061</v>
      </c>
      <c r="K11" s="2">
        <f t="shared" si="21"/>
        <v>430</v>
      </c>
      <c r="L11" s="2">
        <f t="shared" si="6"/>
        <v>433.7070554081173</v>
      </c>
      <c r="M11" s="2">
        <f t="shared" si="7"/>
        <v>0.13159194822290479</v>
      </c>
      <c r="N11" s="2">
        <f t="shared" si="8"/>
        <v>7.4965898556999546</v>
      </c>
      <c r="P11" s="4">
        <f t="shared" si="9"/>
        <v>2.2405523364654529</v>
      </c>
      <c r="Q11" s="4">
        <f t="shared" si="10"/>
        <v>3.7452377000000001</v>
      </c>
      <c r="R11" s="4">
        <f t="shared" si="11"/>
        <v>8.6354087472147317E-3</v>
      </c>
      <c r="S11" s="4">
        <f t="shared" si="1"/>
        <v>1.2814870515859365</v>
      </c>
      <c r="T11" s="2">
        <f t="shared" si="2"/>
        <v>427.02959356314437</v>
      </c>
      <c r="U11" s="6">
        <f t="shared" si="12"/>
        <v>1.3015256648829483</v>
      </c>
      <c r="V11" s="4">
        <f t="shared" si="13"/>
        <v>0.58089500686966722</v>
      </c>
      <c r="W11" s="4">
        <f t="shared" si="14"/>
        <v>0.93525034343120217</v>
      </c>
      <c r="X11" s="3">
        <f t="shared" si="15"/>
        <v>43.843483542696553</v>
      </c>
      <c r="Y11" s="8">
        <f t="shared" si="16"/>
        <v>43.468736992574804</v>
      </c>
      <c r="Z11" s="3">
        <f t="shared" si="17"/>
        <v>5.7201357876419694</v>
      </c>
      <c r="AA11" s="3">
        <f t="shared" si="18"/>
        <v>19015.228146137171</v>
      </c>
      <c r="AB11" s="3"/>
      <c r="AC11" s="3"/>
      <c r="AD11" s="15"/>
    </row>
    <row r="12" spans="1:30">
      <c r="A12" s="7">
        <f t="shared" si="3"/>
        <v>490</v>
      </c>
      <c r="B12" s="3">
        <f t="shared" si="3"/>
        <v>-51.018500000000003</v>
      </c>
      <c r="D12" s="1">
        <f t="shared" si="19"/>
        <v>10</v>
      </c>
      <c r="E12" s="2">
        <f t="shared" si="20"/>
        <v>10</v>
      </c>
      <c r="F12" s="2">
        <f t="shared" si="20"/>
        <v>22.030809999999999</v>
      </c>
      <c r="G12" s="2">
        <f t="shared" si="4"/>
        <v>15.578135146032402</v>
      </c>
      <c r="H12" s="20">
        <f t="shared" si="0"/>
        <v>-4.4339622641509422</v>
      </c>
      <c r="I12" s="2">
        <f t="shared" si="21"/>
        <v>430</v>
      </c>
      <c r="J12" s="20">
        <f t="shared" si="5"/>
        <v>46.584537735849061</v>
      </c>
      <c r="K12" s="2">
        <f t="shared" si="21"/>
        <v>430</v>
      </c>
      <c r="L12" s="2">
        <f t="shared" si="6"/>
        <v>432.51603340923992</v>
      </c>
      <c r="M12" s="2">
        <f t="shared" si="7"/>
        <v>0.10833613426941642</v>
      </c>
      <c r="N12" s="2">
        <f t="shared" si="8"/>
        <v>6.1830887861322719</v>
      </c>
      <c r="P12" s="4">
        <f t="shared" si="9"/>
        <v>2.3498666998194899</v>
      </c>
      <c r="Q12" s="4">
        <f t="shared" si="10"/>
        <v>3.7452377000000001</v>
      </c>
      <c r="R12" s="4">
        <f t="shared" si="11"/>
        <v>8.6591881241459435E-3</v>
      </c>
      <c r="S12" s="4">
        <f t="shared" si="1"/>
        <v>1.2814870515859365</v>
      </c>
      <c r="T12" s="2">
        <f t="shared" si="2"/>
        <v>427.02959356314437</v>
      </c>
      <c r="U12" s="6">
        <f t="shared" si="12"/>
        <v>1.2979514880747789</v>
      </c>
      <c r="V12" s="4">
        <f t="shared" si="13"/>
        <v>0.55235111343740639</v>
      </c>
      <c r="W12" s="4">
        <f t="shared" si="14"/>
        <v>0.92634145251850641</v>
      </c>
      <c r="X12" s="3">
        <f t="shared" si="15"/>
        <v>43.17600746419167</v>
      </c>
      <c r="Y12" s="8">
        <f t="shared" si="16"/>
        <v>42.924843879801003</v>
      </c>
      <c r="Z12" s="3">
        <f t="shared" si="17"/>
        <v>4.6503116500558592</v>
      </c>
      <c r="AA12" s="3">
        <f t="shared" si="18"/>
        <v>18674.315486859916</v>
      </c>
      <c r="AB12" s="3"/>
      <c r="AC12" s="3"/>
      <c r="AD12" s="15"/>
    </row>
    <row r="13" spans="1:30">
      <c r="A13" s="7"/>
      <c r="B13" s="3"/>
      <c r="D13" s="1"/>
      <c r="E13" s="2"/>
      <c r="F13" s="2"/>
      <c r="G13" s="2"/>
      <c r="H13" s="20"/>
      <c r="I13" s="2"/>
      <c r="J13" s="20"/>
      <c r="K13" s="2"/>
      <c r="L13" s="2"/>
      <c r="M13" s="2"/>
      <c r="N13" s="2"/>
      <c r="P13" s="4"/>
      <c r="Q13" s="4"/>
      <c r="R13" s="4"/>
      <c r="S13" s="4"/>
      <c r="T13" s="2"/>
      <c r="U13" s="6"/>
      <c r="V13" s="4"/>
      <c r="W13" s="4"/>
      <c r="X13" s="3"/>
      <c r="Y13" s="8"/>
      <c r="Z13" s="3"/>
      <c r="AA13" s="3"/>
      <c r="AB13" s="3"/>
      <c r="AC13" s="3"/>
      <c r="AD13" s="15"/>
    </row>
    <row r="14" spans="1:30">
      <c r="A14" s="7"/>
      <c r="B14" s="3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P14" s="4"/>
      <c r="Q14" s="4"/>
      <c r="R14" s="4"/>
      <c r="S14" s="4"/>
      <c r="T14" s="2"/>
      <c r="U14" s="6"/>
      <c r="V14" s="4"/>
      <c r="W14" s="4"/>
      <c r="X14" s="3"/>
      <c r="Y14" s="8"/>
      <c r="Z14" s="3"/>
      <c r="AA14" s="3"/>
      <c r="AB14" s="3"/>
      <c r="AC14" s="3"/>
      <c r="AD14" s="15"/>
    </row>
    <row r="15" spans="1:30" ht="22.5" customHeight="1">
      <c r="A15" s="11" t="s">
        <v>28</v>
      </c>
      <c r="B15" s="11" t="s">
        <v>37</v>
      </c>
      <c r="C15" s="12"/>
      <c r="D15" s="13" t="s">
        <v>1</v>
      </c>
      <c r="E15" s="11" t="s">
        <v>21</v>
      </c>
      <c r="F15" s="13" t="s">
        <v>2</v>
      </c>
      <c r="G15" s="13" t="s">
        <v>3</v>
      </c>
      <c r="H15" s="13" t="s">
        <v>38</v>
      </c>
      <c r="I15" s="13" t="s">
        <v>39</v>
      </c>
      <c r="J15" s="11" t="s">
        <v>42</v>
      </c>
      <c r="K15" s="11" t="s">
        <v>43</v>
      </c>
      <c r="L15" s="11" t="s">
        <v>165</v>
      </c>
      <c r="M15" s="13" t="s">
        <v>19</v>
      </c>
      <c r="N15" s="13" t="s">
        <v>20</v>
      </c>
      <c r="O15" s="12"/>
      <c r="P15" s="14" t="s">
        <v>6</v>
      </c>
      <c r="Q15" s="14" t="s">
        <v>7</v>
      </c>
      <c r="R15" s="14" t="s">
        <v>8</v>
      </c>
      <c r="S15" s="14" t="s">
        <v>22</v>
      </c>
      <c r="T15" s="14" t="s">
        <v>23</v>
      </c>
      <c r="U15" s="14" t="s">
        <v>9</v>
      </c>
      <c r="V15" s="14" t="s">
        <v>10</v>
      </c>
      <c r="W15" s="14" t="s">
        <v>12</v>
      </c>
      <c r="X15" s="14" t="s">
        <v>13</v>
      </c>
      <c r="Y15" s="14" t="s">
        <v>14</v>
      </c>
      <c r="Z15" s="14" t="s">
        <v>15</v>
      </c>
      <c r="AA15" s="14" t="s">
        <v>16</v>
      </c>
      <c r="AB15" s="14" t="s">
        <v>41</v>
      </c>
      <c r="AC15" s="14" t="s">
        <v>29</v>
      </c>
      <c r="AD15" s="14" t="s">
        <v>27</v>
      </c>
    </row>
    <row r="16" spans="1:30" ht="22.5" customHeight="1">
      <c r="A16" s="11" t="s">
        <v>24</v>
      </c>
      <c r="B16" s="11" t="s">
        <v>4</v>
      </c>
      <c r="C16" s="12"/>
      <c r="D16" s="13" t="s">
        <v>0</v>
      </c>
      <c r="E16" s="13" t="s">
        <v>4</v>
      </c>
      <c r="F16" s="13" t="s">
        <v>4</v>
      </c>
      <c r="G16" s="13" t="s">
        <v>4</v>
      </c>
      <c r="H16" s="13" t="s">
        <v>4</v>
      </c>
      <c r="I16" s="13" t="s">
        <v>4</v>
      </c>
      <c r="J16" s="13" t="s">
        <v>4</v>
      </c>
      <c r="K16" s="13" t="s">
        <v>4</v>
      </c>
      <c r="L16" s="13" t="s">
        <v>4</v>
      </c>
      <c r="M16" s="13" t="s">
        <v>45</v>
      </c>
      <c r="N16" s="13" t="s">
        <v>5</v>
      </c>
      <c r="O16" s="12"/>
      <c r="P16" s="13" t="s">
        <v>4</v>
      </c>
      <c r="Q16" s="13" t="s">
        <v>4</v>
      </c>
      <c r="R16" s="13"/>
      <c r="S16" s="13" t="s">
        <v>4</v>
      </c>
      <c r="T16" s="13" t="s">
        <v>4</v>
      </c>
      <c r="U16" s="13" t="s">
        <v>4</v>
      </c>
      <c r="V16" s="14" t="s">
        <v>11</v>
      </c>
      <c r="W16" s="13"/>
      <c r="X16" s="13" t="s">
        <v>18</v>
      </c>
      <c r="Y16" s="13" t="s">
        <v>18</v>
      </c>
      <c r="Z16" s="13" t="s">
        <v>18</v>
      </c>
      <c r="AA16" s="13" t="s">
        <v>17</v>
      </c>
      <c r="AB16" s="14" t="s">
        <v>4</v>
      </c>
      <c r="AC16" s="14" t="s">
        <v>18</v>
      </c>
      <c r="AD16" s="13" t="s">
        <v>17</v>
      </c>
    </row>
    <row r="17" spans="1:30">
      <c r="A17" s="7">
        <f>A3</f>
        <v>490</v>
      </c>
      <c r="B17" s="3">
        <f>B3</f>
        <v>-51.018500000000003</v>
      </c>
      <c r="D17" s="1">
        <f>MAX(D3:D14)+1</f>
        <v>11</v>
      </c>
      <c r="E17" s="2">
        <f>E3</f>
        <v>10</v>
      </c>
      <c r="F17" s="2">
        <f>F3</f>
        <v>22.030809999999999</v>
      </c>
      <c r="G17" s="2">
        <f t="shared" si="4"/>
        <v>15.578135146032402</v>
      </c>
      <c r="H17" s="2">
        <f>-$AB$3</f>
        <v>-9.4339622641509422</v>
      </c>
      <c r="I17" s="2">
        <f t="shared" ref="I17:I53" si="22">E17*(MAX($D$17:$D$59)-D17+0.5)</f>
        <v>425</v>
      </c>
      <c r="J17" s="20">
        <f t="shared" ref="J17:J42" si="23">H17-B17</f>
        <v>41.584537735849061</v>
      </c>
      <c r="K17" s="2">
        <f>I17</f>
        <v>425</v>
      </c>
      <c r="L17" s="2">
        <f t="shared" ref="L17:L42" si="24">SQRT(J17^2+K17^2)</f>
        <v>427.02959356314437</v>
      </c>
      <c r="M17" s="2">
        <f>IF(J17=0,"infinity",ABS(K17/J17))</f>
        <v>10.220144869702793</v>
      </c>
      <c r="N17" s="2">
        <f>IF(J17=0,90,ATAN(M17)*180/PI())</f>
        <v>84.411627557490064</v>
      </c>
      <c r="P17" s="4">
        <f>0.209 * (ABS(N17)+2)^-0.32 * F17</f>
        <v>1.105283411163567</v>
      </c>
      <c r="Q17" s="4">
        <f t="shared" si="10"/>
        <v>1.2814870515859365</v>
      </c>
      <c r="R17" s="4">
        <f t="shared" si="11"/>
        <v>3.0009326540888655E-3</v>
      </c>
      <c r="S17" s="4">
        <f t="shared" ref="S17:S53" si="25">INDEX($Q$3:$Q$59, MATCH(MIN($R$3:$R$59),$R$3:$R$59,0))</f>
        <v>1.2814870515859365</v>
      </c>
      <c r="T17" s="2">
        <f t="shared" ref="T17:T53" si="26">INDEX($L$3:$L$59, MATCH(MIN($R$3:$R$59),$R$3:$R$59,0))</f>
        <v>427.02959356314437</v>
      </c>
      <c r="U17" s="6">
        <f t="shared" si="12"/>
        <v>1.2814870515859362</v>
      </c>
      <c r="V17" s="4">
        <f t="shared" si="13"/>
        <v>1.1594194200715218</v>
      </c>
      <c r="W17" s="4">
        <f t="shared" si="14"/>
        <v>0.99791558949827752</v>
      </c>
      <c r="X17" s="3">
        <f t="shared" si="15"/>
        <v>68.393653646537047</v>
      </c>
      <c r="Y17" s="8">
        <f>X17*SIN(N17*PI()/180)</f>
        <v>68.06859111856869</v>
      </c>
      <c r="Z17" s="3">
        <f>X17*COS(N17*PI()/180)</f>
        <v>6.6602374023440056</v>
      </c>
      <c r="AA17" s="3">
        <f t="shared" si="18"/>
        <v>29206.114118979182</v>
      </c>
      <c r="AB17" s="3">
        <f>AD17/AC18+MAX($D$3:$D$14)*E3-AB3</f>
        <v>1093.3750264998939</v>
      </c>
      <c r="AC17" s="3"/>
      <c r="AD17" s="3">
        <f>stiffener_C_shaped_weld!J85*1000/2</f>
        <v>535500</v>
      </c>
    </row>
    <row r="18" spans="1:30">
      <c r="A18" s="7">
        <f t="shared" si="3"/>
        <v>490</v>
      </c>
      <c r="B18" s="3">
        <f t="shared" si="3"/>
        <v>-51.018500000000003</v>
      </c>
      <c r="D18" s="1">
        <f>D17+1</f>
        <v>12</v>
      </c>
      <c r="E18" s="2">
        <f t="shared" si="20"/>
        <v>10</v>
      </c>
      <c r="F18" s="2">
        <f t="shared" si="20"/>
        <v>22.030809999999999</v>
      </c>
      <c r="G18" s="2">
        <f t="shared" si="4"/>
        <v>15.578135146032402</v>
      </c>
      <c r="H18" s="2">
        <f t="shared" ref="H18:H59" si="27">-$AB$3</f>
        <v>-9.4339622641509422</v>
      </c>
      <c r="I18" s="2">
        <f t="shared" si="22"/>
        <v>415</v>
      </c>
      <c r="J18" s="20">
        <f t="shared" si="23"/>
        <v>41.584537735849061</v>
      </c>
      <c r="K18" s="2">
        <f t="shared" ref="K18:K42" si="28">I18</f>
        <v>415</v>
      </c>
      <c r="L18" s="2">
        <f t="shared" si="24"/>
        <v>417.07825857829636</v>
      </c>
      <c r="M18" s="2">
        <f t="shared" ref="M18:M42" si="29">IF(J18=0,"infinity",ABS(K18/J18))</f>
        <v>9.9796708727686099</v>
      </c>
      <c r="N18" s="2">
        <f t="shared" ref="N18:N42" si="30">IF(J18=0,90,ATAN(M18)*180/PI())</f>
        <v>84.277851195748411</v>
      </c>
      <c r="P18" s="4">
        <f t="shared" si="9"/>
        <v>1.1058315301896811</v>
      </c>
      <c r="Q18" s="4">
        <f t="shared" si="10"/>
        <v>1.282721045975604</v>
      </c>
      <c r="R18" s="4">
        <f t="shared" si="11"/>
        <v>3.0754924755561292E-3</v>
      </c>
      <c r="S18" s="4">
        <f t="shared" si="25"/>
        <v>1.2814870515859365</v>
      </c>
      <c r="T18" s="2">
        <f t="shared" si="26"/>
        <v>427.02959356314437</v>
      </c>
      <c r="U18" s="6">
        <f t="shared" si="12"/>
        <v>1.251623765478129</v>
      </c>
      <c r="V18" s="4">
        <f t="shared" si="13"/>
        <v>1.1318394631625674</v>
      </c>
      <c r="W18" s="4">
        <f t="shared" si="14"/>
        <v>0.99926150393850843</v>
      </c>
      <c r="X18" s="3">
        <f t="shared" si="15"/>
        <v>68.478019766803527</v>
      </c>
      <c r="Y18" s="8">
        <f t="shared" ref="Y18:Y42" si="31">X18*SIN(N18*PI()/180)</f>
        <v>68.136800753157928</v>
      </c>
      <c r="Z18" s="3">
        <f t="shared" ref="Z18:Z42" si="32">X18*COS(N18*PI()/180)</f>
        <v>6.8275599087222352</v>
      </c>
      <c r="AA18" s="3">
        <f t="shared" si="18"/>
        <v>28560.693235228569</v>
      </c>
      <c r="AB18" s="3"/>
      <c r="AC18" s="17">
        <f>stiffener_C_shaped_weld!J86</f>
        <v>534</v>
      </c>
      <c r="AD18" s="3"/>
    </row>
    <row r="19" spans="1:30">
      <c r="A19" s="7">
        <f t="shared" si="3"/>
        <v>490</v>
      </c>
      <c r="B19" s="3">
        <f t="shared" si="3"/>
        <v>-51.018500000000003</v>
      </c>
      <c r="D19" s="1">
        <f t="shared" ref="D19:D59" si="33">D18+1</f>
        <v>13</v>
      </c>
      <c r="E19" s="2">
        <f t="shared" si="20"/>
        <v>10</v>
      </c>
      <c r="F19" s="2">
        <f t="shared" si="20"/>
        <v>22.030809999999999</v>
      </c>
      <c r="G19" s="2">
        <f t="shared" si="4"/>
        <v>15.578135146032402</v>
      </c>
      <c r="H19" s="2">
        <f t="shared" si="27"/>
        <v>-9.4339622641509422</v>
      </c>
      <c r="I19" s="2">
        <f t="shared" si="22"/>
        <v>405</v>
      </c>
      <c r="J19" s="20">
        <f t="shared" si="23"/>
        <v>41.584537735849061</v>
      </c>
      <c r="K19" s="2">
        <f t="shared" si="28"/>
        <v>405</v>
      </c>
      <c r="L19" s="2">
        <f t="shared" si="24"/>
        <v>407.12930842510497</v>
      </c>
      <c r="M19" s="2">
        <f t="shared" si="29"/>
        <v>9.7391968758344269</v>
      </c>
      <c r="N19" s="2">
        <f t="shared" si="30"/>
        <v>84.137535896901554</v>
      </c>
      <c r="P19" s="4">
        <f t="shared" si="9"/>
        <v>1.1064076477961207</v>
      </c>
      <c r="Q19" s="4">
        <f t="shared" si="10"/>
        <v>1.2840186036711081</v>
      </c>
      <c r="R19" s="4">
        <f t="shared" si="11"/>
        <v>3.1538348556581861E-3</v>
      </c>
      <c r="S19" s="4">
        <f t="shared" si="25"/>
        <v>1.2814870515859365</v>
      </c>
      <c r="T19" s="2">
        <f t="shared" si="26"/>
        <v>427.02959356314437</v>
      </c>
      <c r="U19" s="6">
        <f t="shared" si="12"/>
        <v>1.2217676360895147</v>
      </c>
      <c r="V19" s="4">
        <f t="shared" si="13"/>
        <v>1.1042653569172107</v>
      </c>
      <c r="W19" s="4">
        <f t="shared" si="14"/>
        <v>1.000192675936125</v>
      </c>
      <c r="X19" s="3">
        <f t="shared" si="15"/>
        <v>68.533362022199142</v>
      </c>
      <c r="Y19" s="8">
        <f t="shared" si="31"/>
        <v>68.174928811583257</v>
      </c>
      <c r="Z19" s="3">
        <f t="shared" si="32"/>
        <v>7.0000565427261936</v>
      </c>
      <c r="AA19" s="3">
        <f t="shared" si="18"/>
        <v>27901.94028414529</v>
      </c>
      <c r="AB19" s="14" t="s">
        <v>46</v>
      </c>
      <c r="AC19" s="3"/>
      <c r="AD19" s="3"/>
    </row>
    <row r="20" spans="1:30">
      <c r="A20" s="7">
        <f t="shared" ref="A20:B35" si="34">A19</f>
        <v>490</v>
      </c>
      <c r="B20" s="3">
        <f t="shared" si="34"/>
        <v>-51.018500000000003</v>
      </c>
      <c r="D20" s="1">
        <f t="shared" si="33"/>
        <v>14</v>
      </c>
      <c r="E20" s="2">
        <f t="shared" si="20"/>
        <v>10</v>
      </c>
      <c r="F20" s="2">
        <f t="shared" si="20"/>
        <v>22.030809999999999</v>
      </c>
      <c r="G20" s="2">
        <f t="shared" si="4"/>
        <v>15.578135146032402</v>
      </c>
      <c r="H20" s="2">
        <f t="shared" si="27"/>
        <v>-9.4339622641509422</v>
      </c>
      <c r="I20" s="2">
        <f t="shared" si="22"/>
        <v>395</v>
      </c>
      <c r="J20" s="20">
        <f t="shared" si="23"/>
        <v>41.584537735849061</v>
      </c>
      <c r="K20" s="2">
        <f t="shared" si="28"/>
        <v>395</v>
      </c>
      <c r="L20" s="2">
        <f t="shared" si="24"/>
        <v>397.18292231502636</v>
      </c>
      <c r="M20" s="2">
        <f t="shared" si="29"/>
        <v>9.498722878900244</v>
      </c>
      <c r="N20" s="2">
        <f t="shared" si="30"/>
        <v>83.990192032867768</v>
      </c>
      <c r="P20" s="4">
        <f t="shared" si="9"/>
        <v>1.1070139587818968</v>
      </c>
      <c r="Q20" s="4">
        <f t="shared" si="10"/>
        <v>1.2853847498856203</v>
      </c>
      <c r="R20" s="4">
        <f t="shared" si="11"/>
        <v>3.2362538207675383E-3</v>
      </c>
      <c r="S20" s="4">
        <f t="shared" si="25"/>
        <v>1.2814870515859365</v>
      </c>
      <c r="T20" s="2">
        <f t="shared" si="26"/>
        <v>427.02959356314437</v>
      </c>
      <c r="U20" s="6">
        <f t="shared" si="12"/>
        <v>1.1919192012216038</v>
      </c>
      <c r="V20" s="4">
        <f t="shared" si="13"/>
        <v>1.0766975355334567</v>
      </c>
      <c r="W20" s="4">
        <f t="shared" si="14"/>
        <v>1.0007120561225189</v>
      </c>
      <c r="X20" s="3">
        <f t="shared" si="15"/>
        <v>68.559832472573845</v>
      </c>
      <c r="Y20" s="8">
        <f t="shared" si="31"/>
        <v>68.183026774719224</v>
      </c>
      <c r="Z20" s="3">
        <f t="shared" si="32"/>
        <v>7.1781256958423318</v>
      </c>
      <c r="AA20" s="3">
        <f t="shared" si="18"/>
        <v>27230.794614885519</v>
      </c>
      <c r="AB20" s="14" t="s">
        <v>4</v>
      </c>
      <c r="AC20" s="3"/>
      <c r="AD20" s="3"/>
    </row>
    <row r="21" spans="1:30">
      <c r="A21" s="7">
        <f t="shared" si="34"/>
        <v>490</v>
      </c>
      <c r="B21" s="3">
        <f t="shared" si="34"/>
        <v>-51.018500000000003</v>
      </c>
      <c r="D21" s="1">
        <f t="shared" si="33"/>
        <v>15</v>
      </c>
      <c r="E21" s="2">
        <f t="shared" ref="E21:F36" si="35">E20</f>
        <v>10</v>
      </c>
      <c r="F21" s="2">
        <f t="shared" si="35"/>
        <v>22.030809999999999</v>
      </c>
      <c r="G21" s="2">
        <f t="shared" si="4"/>
        <v>15.578135146032402</v>
      </c>
      <c r="H21" s="2">
        <f t="shared" si="27"/>
        <v>-9.4339622641509422</v>
      </c>
      <c r="I21" s="2">
        <f t="shared" si="22"/>
        <v>385</v>
      </c>
      <c r="J21" s="20">
        <f t="shared" si="23"/>
        <v>41.584537735849061</v>
      </c>
      <c r="K21" s="2">
        <f t="shared" si="28"/>
        <v>385</v>
      </c>
      <c r="L21" s="2">
        <f t="shared" si="24"/>
        <v>387.23929782332817</v>
      </c>
      <c r="M21" s="2">
        <f t="shared" si="29"/>
        <v>9.2582488819660593</v>
      </c>
      <c r="N21" s="2">
        <f t="shared" si="30"/>
        <v>83.835280037187772</v>
      </c>
      <c r="P21" s="4">
        <f t="shared" si="9"/>
        <v>1.107652892771914</v>
      </c>
      <c r="Q21" s="4">
        <f t="shared" si="10"/>
        <v>1.2868250521628868</v>
      </c>
      <c r="R21" s="4">
        <f t="shared" si="11"/>
        <v>3.3230745417526823E-3</v>
      </c>
      <c r="S21" s="4">
        <f t="shared" si="25"/>
        <v>1.2814870515859365</v>
      </c>
      <c r="T21" s="2">
        <f t="shared" si="26"/>
        <v>427.02959356314437</v>
      </c>
      <c r="U21" s="6">
        <f t="shared" si="12"/>
        <v>1.162079053784469</v>
      </c>
      <c r="V21" s="4">
        <f t="shared" si="13"/>
        <v>1.0491364771109413</v>
      </c>
      <c r="W21" s="4">
        <f t="shared" si="14"/>
        <v>1.0008214206253985</v>
      </c>
      <c r="X21" s="3">
        <f t="shared" si="15"/>
        <v>68.557496426865939</v>
      </c>
      <c r="Y21" s="8">
        <f t="shared" si="31"/>
        <v>68.16104737485999</v>
      </c>
      <c r="Z21" s="3">
        <f t="shared" si="32"/>
        <v>7.3621964848697754</v>
      </c>
      <c r="AA21" s="3">
        <f t="shared" si="18"/>
        <v>26548.156776864897</v>
      </c>
      <c r="AB21" s="3">
        <f>AB17-B3</f>
        <v>1144.3935264998938</v>
      </c>
      <c r="AC21" s="3"/>
      <c r="AD21" s="3"/>
    </row>
    <row r="22" spans="1:30" hidden="1">
      <c r="A22" s="7">
        <f t="shared" si="34"/>
        <v>490</v>
      </c>
      <c r="B22" s="3">
        <f t="shared" si="34"/>
        <v>-51.018500000000003</v>
      </c>
      <c r="D22" s="1">
        <f t="shared" si="33"/>
        <v>16</v>
      </c>
      <c r="E22" s="2">
        <f t="shared" si="35"/>
        <v>10</v>
      </c>
      <c r="F22" s="2">
        <f t="shared" si="35"/>
        <v>22.030809999999999</v>
      </c>
      <c r="G22" s="2">
        <f t="shared" si="4"/>
        <v>15.578135146032402</v>
      </c>
      <c r="H22" s="2">
        <f t="shared" si="27"/>
        <v>-9.4339622641509422</v>
      </c>
      <c r="I22" s="2">
        <f t="shared" si="22"/>
        <v>375</v>
      </c>
      <c r="J22" s="20">
        <f t="shared" si="23"/>
        <v>41.584537735849061</v>
      </c>
      <c r="K22" s="2">
        <f t="shared" si="28"/>
        <v>375</v>
      </c>
      <c r="L22" s="2">
        <f t="shared" si="24"/>
        <v>377.29865329564092</v>
      </c>
      <c r="M22" s="2">
        <f t="shared" si="29"/>
        <v>9.0177748850318764</v>
      </c>
      <c r="N22" s="2">
        <f t="shared" si="30"/>
        <v>83.672203899178754</v>
      </c>
      <c r="P22" s="4">
        <f t="shared" si="9"/>
        <v>1.1083271463844564</v>
      </c>
      <c r="Q22" s="4">
        <f t="shared" si="10"/>
        <v>1.2883456953278418</v>
      </c>
      <c r="R22" s="4">
        <f t="shared" si="11"/>
        <v>3.4146575506547841E-3</v>
      </c>
      <c r="S22" s="4">
        <f t="shared" si="25"/>
        <v>1.2814870515859365</v>
      </c>
      <c r="T22" s="2">
        <f t="shared" si="26"/>
        <v>427.02959356314437</v>
      </c>
      <c r="U22" s="6">
        <f t="shared" si="12"/>
        <v>1.1322478490186425</v>
      </c>
      <c r="V22" s="4">
        <f t="shared" si="13"/>
        <v>1.02158270932208</v>
      </c>
      <c r="W22" s="4">
        <f t="shared" si="14"/>
        <v>1.0005213944430498</v>
      </c>
      <c r="X22" s="3">
        <f t="shared" si="15"/>
        <v>68.526333135701179</v>
      </c>
      <c r="Y22" s="8">
        <f t="shared" si="31"/>
        <v>68.108843488906331</v>
      </c>
      <c r="Z22" s="3">
        <f t="shared" si="32"/>
        <v>7.5527327258919037</v>
      </c>
      <c r="AA22" s="3">
        <f t="shared" si="18"/>
        <v>25854.893207388508</v>
      </c>
      <c r="AB22" s="3"/>
      <c r="AC22" s="3"/>
      <c r="AD22" s="3"/>
    </row>
    <row r="23" spans="1:30" hidden="1">
      <c r="A23" s="7">
        <f t="shared" si="34"/>
        <v>490</v>
      </c>
      <c r="B23" s="3">
        <f t="shared" si="34"/>
        <v>-51.018500000000003</v>
      </c>
      <c r="D23" s="1">
        <f t="shared" si="33"/>
        <v>17</v>
      </c>
      <c r="E23" s="2">
        <f t="shared" si="35"/>
        <v>10</v>
      </c>
      <c r="F23" s="2">
        <f t="shared" si="35"/>
        <v>22.030809999999999</v>
      </c>
      <c r="G23" s="2">
        <f t="shared" si="4"/>
        <v>15.578135146032402</v>
      </c>
      <c r="H23" s="2">
        <f t="shared" si="27"/>
        <v>-9.4339622641509422</v>
      </c>
      <c r="I23" s="2">
        <f t="shared" si="22"/>
        <v>365</v>
      </c>
      <c r="J23" s="20">
        <f t="shared" si="23"/>
        <v>41.584537735849061</v>
      </c>
      <c r="K23" s="2">
        <f t="shared" si="28"/>
        <v>365</v>
      </c>
      <c r="L23" s="2">
        <f t="shared" si="24"/>
        <v>367.36123064186324</v>
      </c>
      <c r="M23" s="2">
        <f t="shared" si="29"/>
        <v>8.7773008880976935</v>
      </c>
      <c r="N23" s="2">
        <f t="shared" si="30"/>
        <v>83.500303618518259</v>
      </c>
      <c r="P23" s="4">
        <f t="shared" si="9"/>
        <v>1.1090397208179912</v>
      </c>
      <c r="Q23" s="4">
        <f t="shared" si="10"/>
        <v>1.2899535691792203</v>
      </c>
      <c r="R23" s="4">
        <f t="shared" si="11"/>
        <v>3.5114036582613232E-3</v>
      </c>
      <c r="S23" s="4">
        <f t="shared" si="25"/>
        <v>1.2814870515859365</v>
      </c>
      <c r="T23" s="2">
        <f t="shared" si="26"/>
        <v>427.02959356314437</v>
      </c>
      <c r="U23" s="6">
        <f t="shared" si="12"/>
        <v>1.1024263128794387</v>
      </c>
      <c r="V23" s="4">
        <f t="shared" si="13"/>
        <v>0.99403681598196081</v>
      </c>
      <c r="W23" s="4">
        <f t="shared" si="14"/>
        <v>0.99981146192971493</v>
      </c>
      <c r="X23" s="3">
        <f t="shared" si="15"/>
        <v>68.466235435429169</v>
      </c>
      <c r="Y23" s="8">
        <f t="shared" si="31"/>
        <v>68.026165663339455</v>
      </c>
      <c r="Z23" s="3">
        <f t="shared" si="32"/>
        <v>7.7502374056226282</v>
      </c>
      <c r="AA23" s="3">
        <f t="shared" si="18"/>
        <v>25151.840506974804</v>
      </c>
      <c r="AB23" s="3"/>
      <c r="AC23" s="3"/>
      <c r="AD23" s="3"/>
    </row>
    <row r="24" spans="1:30" hidden="1">
      <c r="A24" s="7">
        <f t="shared" si="34"/>
        <v>490</v>
      </c>
      <c r="B24" s="3">
        <f t="shared" si="34"/>
        <v>-51.018500000000003</v>
      </c>
      <c r="D24" s="1">
        <f t="shared" si="33"/>
        <v>18</v>
      </c>
      <c r="E24" s="2">
        <f t="shared" si="35"/>
        <v>10</v>
      </c>
      <c r="F24" s="2">
        <f t="shared" si="35"/>
        <v>22.030809999999999</v>
      </c>
      <c r="G24" s="2">
        <f t="shared" si="4"/>
        <v>15.578135146032402</v>
      </c>
      <c r="H24" s="2">
        <f t="shared" si="27"/>
        <v>-9.4339622641509422</v>
      </c>
      <c r="I24" s="2">
        <f t="shared" si="22"/>
        <v>355</v>
      </c>
      <c r="J24" s="20">
        <f t="shared" si="23"/>
        <v>41.584537735849061</v>
      </c>
      <c r="K24" s="2">
        <f t="shared" si="28"/>
        <v>355</v>
      </c>
      <c r="L24" s="2">
        <f t="shared" si="24"/>
        <v>357.42729859190143</v>
      </c>
      <c r="M24" s="2">
        <f t="shared" si="29"/>
        <v>8.5368268911635106</v>
      </c>
      <c r="N24" s="2">
        <f t="shared" si="30"/>
        <v>83.318846422132637</v>
      </c>
      <c r="P24" s="4">
        <f t="shared" si="9"/>
        <v>1.1097939659496643</v>
      </c>
      <c r="Q24" s="4">
        <f t="shared" si="10"/>
        <v>1.2916563715165983</v>
      </c>
      <c r="R24" s="4">
        <f t="shared" si="11"/>
        <v>3.6137597117095648E-3</v>
      </c>
      <c r="S24" s="4">
        <f t="shared" si="25"/>
        <v>1.2814870515859365</v>
      </c>
      <c r="T24" s="2">
        <f t="shared" si="26"/>
        <v>427.02959356314437</v>
      </c>
      <c r="U24" s="6">
        <f t="shared" si="12"/>
        <v>1.0726152518072083</v>
      </c>
      <c r="V24" s="4">
        <f t="shared" si="13"/>
        <v>0.96649944468688676</v>
      </c>
      <c r="W24" s="4">
        <f t="shared" si="14"/>
        <v>0.99868996473609462</v>
      </c>
      <c r="X24" s="3">
        <f t="shared" si="15"/>
        <v>68.377008332765001</v>
      </c>
      <c r="Y24" s="8">
        <f t="shared" si="31"/>
        <v>67.912658193034758</v>
      </c>
      <c r="Z24" s="3">
        <f t="shared" si="32"/>
        <v>7.9552577390706327</v>
      </c>
      <c r="AA24" s="3">
        <f t="shared" si="18"/>
        <v>24439.809374176129</v>
      </c>
      <c r="AB24" s="3"/>
      <c r="AC24" s="3"/>
      <c r="AD24" s="3"/>
    </row>
    <row r="25" spans="1:30" hidden="1">
      <c r="A25" s="7">
        <f t="shared" si="34"/>
        <v>490</v>
      </c>
      <c r="B25" s="3">
        <f t="shared" si="34"/>
        <v>-51.018500000000003</v>
      </c>
      <c r="D25" s="1">
        <f t="shared" si="33"/>
        <v>19</v>
      </c>
      <c r="E25" s="2">
        <f t="shared" si="35"/>
        <v>10</v>
      </c>
      <c r="F25" s="2">
        <f t="shared" si="35"/>
        <v>22.030809999999999</v>
      </c>
      <c r="G25" s="2">
        <f t="shared" si="4"/>
        <v>15.578135146032402</v>
      </c>
      <c r="H25" s="2">
        <f t="shared" si="27"/>
        <v>-9.4339622641509422</v>
      </c>
      <c r="I25" s="2">
        <f t="shared" si="22"/>
        <v>345</v>
      </c>
      <c r="J25" s="20">
        <f t="shared" si="23"/>
        <v>41.584537735849061</v>
      </c>
      <c r="K25" s="2">
        <f t="shared" si="28"/>
        <v>345</v>
      </c>
      <c r="L25" s="2">
        <f t="shared" si="24"/>
        <v>347.49715650448746</v>
      </c>
      <c r="M25" s="2">
        <f t="shared" si="29"/>
        <v>8.2963528942293259</v>
      </c>
      <c r="N25" s="2">
        <f t="shared" si="30"/>
        <v>83.12701650114083</v>
      </c>
      <c r="P25" s="4">
        <f t="shared" si="9"/>
        <v>1.1105936322961014</v>
      </c>
      <c r="Q25" s="4">
        <f t="shared" si="10"/>
        <v>1.2934627297130812</v>
      </c>
      <c r="R25" s="4">
        <f t="shared" si="11"/>
        <v>3.7222253635804292E-3</v>
      </c>
      <c r="S25" s="4">
        <f t="shared" si="25"/>
        <v>1.2814870515859365</v>
      </c>
      <c r="T25" s="2">
        <f t="shared" si="26"/>
        <v>427.02959356314437</v>
      </c>
      <c r="U25" s="6">
        <f t="shared" si="12"/>
        <v>1.0428155641573456</v>
      </c>
      <c r="V25" s="4">
        <f t="shared" si="13"/>
        <v>0.93897131572902337</v>
      </c>
      <c r="W25" s="4">
        <f t="shared" si="14"/>
        <v>0.99715408724939691</v>
      </c>
      <c r="X25" s="3">
        <f t="shared" si="15"/>
        <v>68.258366490261182</v>
      </c>
      <c r="Y25" s="8">
        <f t="shared" si="31"/>
        <v>67.767853630871372</v>
      </c>
      <c r="Z25" s="3">
        <f t="shared" si="32"/>
        <v>8.1683909176535323</v>
      </c>
      <c r="AA25" s="3">
        <f t="shared" si="18"/>
        <v>23719.588263006954</v>
      </c>
      <c r="AB25" s="3"/>
      <c r="AC25" s="3"/>
      <c r="AD25" s="3"/>
    </row>
    <row r="26" spans="1:30" hidden="1">
      <c r="A26" s="7">
        <f t="shared" si="34"/>
        <v>490</v>
      </c>
      <c r="B26" s="3">
        <f t="shared" si="34"/>
        <v>-51.018500000000003</v>
      </c>
      <c r="D26" s="1">
        <f t="shared" si="33"/>
        <v>20</v>
      </c>
      <c r="E26" s="2">
        <f t="shared" si="35"/>
        <v>10</v>
      </c>
      <c r="F26" s="2">
        <f t="shared" si="35"/>
        <v>22.030809999999999</v>
      </c>
      <c r="G26" s="2">
        <f t="shared" si="4"/>
        <v>15.578135146032402</v>
      </c>
      <c r="H26" s="2">
        <f t="shared" si="27"/>
        <v>-9.4339622641509422</v>
      </c>
      <c r="I26" s="2">
        <f t="shared" si="22"/>
        <v>335</v>
      </c>
      <c r="J26" s="20">
        <f t="shared" si="23"/>
        <v>41.584537735849061</v>
      </c>
      <c r="K26" s="2">
        <f t="shared" si="28"/>
        <v>335</v>
      </c>
      <c r="L26" s="2">
        <f t="shared" si="24"/>
        <v>337.57113884143627</v>
      </c>
      <c r="M26" s="2">
        <f t="shared" si="29"/>
        <v>8.0558788972951429</v>
      </c>
      <c r="N26" s="2">
        <f t="shared" si="30"/>
        <v>82.923902970175618</v>
      </c>
      <c r="P26" s="4">
        <f t="shared" si="9"/>
        <v>1.111442932515903</v>
      </c>
      <c r="Q26" s="4">
        <f t="shared" si="10"/>
        <v>1.2953823448342734</v>
      </c>
      <c r="R26" s="4">
        <f t="shared" si="11"/>
        <v>3.8373610649301976E-3</v>
      </c>
      <c r="S26" s="4">
        <f t="shared" si="25"/>
        <v>1.2814870515859365</v>
      </c>
      <c r="T26" s="2">
        <f t="shared" si="26"/>
        <v>427.02959356314437</v>
      </c>
      <c r="U26" s="6">
        <f t="shared" si="12"/>
        <v>1.0130282536272324</v>
      </c>
      <c r="V26" s="4">
        <f t="shared" si="13"/>
        <v>0.91145323254168742</v>
      </c>
      <c r="W26" s="4">
        <f t="shared" si="14"/>
        <v>0.99519982928398487</v>
      </c>
      <c r="X26" s="3">
        <f t="shared" si="15"/>
        <v>68.10993054199912</v>
      </c>
      <c r="Y26" s="8">
        <f t="shared" si="31"/>
        <v>67.591165553661895</v>
      </c>
      <c r="Z26" s="3">
        <f t="shared" si="32"/>
        <v>8.3902906703769187</v>
      </c>
      <c r="AA26" s="3">
        <f t="shared" si="18"/>
        <v>22991.946819473764</v>
      </c>
      <c r="AB26" s="3"/>
      <c r="AC26" s="3"/>
      <c r="AD26" s="3"/>
    </row>
    <row r="27" spans="1:30" hidden="1">
      <c r="A27" s="7">
        <f t="shared" si="34"/>
        <v>490</v>
      </c>
      <c r="B27" s="3">
        <f t="shared" si="34"/>
        <v>-51.018500000000003</v>
      </c>
      <c r="D27" s="1">
        <f t="shared" si="33"/>
        <v>21</v>
      </c>
      <c r="E27" s="2">
        <f t="shared" si="35"/>
        <v>10</v>
      </c>
      <c r="F27" s="2">
        <f t="shared" si="35"/>
        <v>22.030809999999999</v>
      </c>
      <c r="G27" s="2">
        <f t="shared" si="4"/>
        <v>15.578135146032402</v>
      </c>
      <c r="H27" s="2">
        <f t="shared" si="27"/>
        <v>-9.4339622641509422</v>
      </c>
      <c r="I27" s="2">
        <f t="shared" si="22"/>
        <v>325</v>
      </c>
      <c r="J27" s="20">
        <f t="shared" si="23"/>
        <v>41.584537735849061</v>
      </c>
      <c r="K27" s="2">
        <f t="shared" si="28"/>
        <v>325</v>
      </c>
      <c r="L27" s="2">
        <f t="shared" si="24"/>
        <v>327.64962044645233</v>
      </c>
      <c r="M27" s="2">
        <f t="shared" si="29"/>
        <v>7.81540490036096</v>
      </c>
      <c r="N27" s="2">
        <f t="shared" si="30"/>
        <v>82.708485681382498</v>
      </c>
      <c r="P27" s="4">
        <f t="shared" si="9"/>
        <v>1.1123466145545078</v>
      </c>
      <c r="Q27" s="4">
        <f t="shared" si="10"/>
        <v>1.2974261633180961</v>
      </c>
      <c r="R27" s="4">
        <f t="shared" si="11"/>
        <v>3.9597975469961941E-3</v>
      </c>
      <c r="S27" s="4">
        <f t="shared" si="25"/>
        <v>1.2814870515859365</v>
      </c>
      <c r="T27" s="2">
        <f t="shared" si="26"/>
        <v>427.02959356314437</v>
      </c>
      <c r="U27" s="6">
        <f t="shared" si="12"/>
        <v>0.98325444509758164</v>
      </c>
      <c r="V27" s="4">
        <f t="shared" si="13"/>
        <v>0.88394609398921287</v>
      </c>
      <c r="W27" s="4">
        <f t="shared" si="14"/>
        <v>0.99282196547494361</v>
      </c>
      <c r="X27" s="3">
        <f t="shared" si="15"/>
        <v>67.93122213464224</v>
      </c>
      <c r="Y27" s="8">
        <f t="shared" si="31"/>
        <v>67.381879349275394</v>
      </c>
      <c r="Z27" s="3">
        <f t="shared" si="32"/>
        <v>8.6216747831149938</v>
      </c>
      <c r="AA27" s="3">
        <f t="shared" si="18"/>
        <v>22257.639148879171</v>
      </c>
      <c r="AB27" s="3"/>
      <c r="AC27" s="3"/>
      <c r="AD27" s="3"/>
    </row>
    <row r="28" spans="1:30" hidden="1">
      <c r="A28" s="7">
        <f t="shared" si="34"/>
        <v>490</v>
      </c>
      <c r="B28" s="3">
        <f t="shared" si="34"/>
        <v>-51.018500000000003</v>
      </c>
      <c r="D28" s="1">
        <f t="shared" si="33"/>
        <v>22</v>
      </c>
      <c r="E28" s="2">
        <f t="shared" si="35"/>
        <v>10</v>
      </c>
      <c r="F28" s="2">
        <f t="shared" si="35"/>
        <v>22.030809999999999</v>
      </c>
      <c r="G28" s="2">
        <f t="shared" si="4"/>
        <v>15.578135146032402</v>
      </c>
      <c r="H28" s="2">
        <f t="shared" si="27"/>
        <v>-9.4339622641509422</v>
      </c>
      <c r="I28" s="2">
        <f t="shared" si="22"/>
        <v>315</v>
      </c>
      <c r="J28" s="20">
        <f t="shared" si="23"/>
        <v>41.584537735849061</v>
      </c>
      <c r="K28" s="2">
        <f t="shared" si="28"/>
        <v>315</v>
      </c>
      <c r="L28" s="2">
        <f t="shared" si="24"/>
        <v>317.73302280169787</v>
      </c>
      <c r="M28" s="2">
        <f t="shared" si="29"/>
        <v>7.5749309034267762</v>
      </c>
      <c r="N28" s="2">
        <f t="shared" si="30"/>
        <v>82.479618436410107</v>
      </c>
      <c r="P28" s="4">
        <f t="shared" si="9"/>
        <v>1.1133100490756849</v>
      </c>
      <c r="Q28" s="4">
        <f t="shared" si="10"/>
        <v>1.2996065825413581</v>
      </c>
      <c r="R28" s="4">
        <f t="shared" si="11"/>
        <v>4.0902471234551619E-3</v>
      </c>
      <c r="S28" s="4">
        <f t="shared" si="25"/>
        <v>1.2814870515859365</v>
      </c>
      <c r="T28" s="2">
        <f t="shared" si="26"/>
        <v>427.02959356314437</v>
      </c>
      <c r="U28" s="6">
        <f t="shared" si="12"/>
        <v>0.95349540340797734</v>
      </c>
      <c r="V28" s="4">
        <f t="shared" si="13"/>
        <v>0.85645090889066156</v>
      </c>
      <c r="W28" s="4">
        <f t="shared" si="14"/>
        <v>0.99001399051121297</v>
      </c>
      <c r="X28" s="3">
        <f t="shared" si="15"/>
        <v>67.721657549561783</v>
      </c>
      <c r="Y28" s="8">
        <f t="shared" si="31"/>
        <v>67.139140716342212</v>
      </c>
      <c r="Z28" s="3">
        <f t="shared" si="32"/>
        <v>8.8633337481625851</v>
      </c>
      <c r="AA28" s="3">
        <f t="shared" si="18"/>
        <v>21517.40696236369</v>
      </c>
      <c r="AB28" s="3"/>
      <c r="AC28" s="3"/>
      <c r="AD28" s="3"/>
    </row>
    <row r="29" spans="1:30" hidden="1">
      <c r="A29" s="7">
        <f t="shared" si="34"/>
        <v>490</v>
      </c>
      <c r="B29" s="3">
        <f t="shared" si="34"/>
        <v>-51.018500000000003</v>
      </c>
      <c r="D29" s="1">
        <f t="shared" si="33"/>
        <v>23</v>
      </c>
      <c r="E29" s="2">
        <f t="shared" si="35"/>
        <v>10</v>
      </c>
      <c r="F29" s="2">
        <f t="shared" si="35"/>
        <v>22.030809999999999</v>
      </c>
      <c r="G29" s="2">
        <f t="shared" si="4"/>
        <v>15.578135146032402</v>
      </c>
      <c r="H29" s="2">
        <f t="shared" si="27"/>
        <v>-9.4339622641509422</v>
      </c>
      <c r="I29" s="2">
        <f t="shared" si="22"/>
        <v>305</v>
      </c>
      <c r="J29" s="20">
        <f t="shared" si="23"/>
        <v>41.584537735849061</v>
      </c>
      <c r="K29" s="2">
        <f t="shared" si="28"/>
        <v>305</v>
      </c>
      <c r="L29" s="2">
        <f t="shared" si="24"/>
        <v>307.82182147908918</v>
      </c>
      <c r="M29" s="2">
        <f t="shared" si="29"/>
        <v>7.3344569064925933</v>
      </c>
      <c r="N29" s="2">
        <f t="shared" si="30"/>
        <v>82.236009025922584</v>
      </c>
      <c r="P29" s="4">
        <f t="shared" si="9"/>
        <v>1.1143393345303496</v>
      </c>
      <c r="Q29" s="4">
        <f t="shared" si="10"/>
        <v>1.3019376983074806</v>
      </c>
      <c r="R29" s="4">
        <f t="shared" si="11"/>
        <v>4.2295172319221797E-3</v>
      </c>
      <c r="S29" s="4">
        <f t="shared" si="25"/>
        <v>1.2814870515859365</v>
      </c>
      <c r="T29" s="2">
        <f t="shared" si="26"/>
        <v>427.02959356314437</v>
      </c>
      <c r="U29" s="6">
        <f t="shared" si="12"/>
        <v>0.9237525557177122</v>
      </c>
      <c r="V29" s="4">
        <f t="shared" si="13"/>
        <v>0.8289688132628269</v>
      </c>
      <c r="W29" s="4">
        <f t="shared" si="14"/>
        <v>0.98676804900021575</v>
      </c>
      <c r="X29" s="3">
        <f t="shared" si="15"/>
        <v>67.480539714976231</v>
      </c>
      <c r="Y29" s="8">
        <f t="shared" si="31"/>
        <v>66.861941476965399</v>
      </c>
      <c r="Z29" s="3">
        <f t="shared" si="32"/>
        <v>9.1161407489869006</v>
      </c>
      <c r="AA29" s="3">
        <f t="shared" si="18"/>
        <v>20771.982649456</v>
      </c>
      <c r="AB29" s="3"/>
      <c r="AC29" s="3"/>
      <c r="AD29" s="3"/>
    </row>
    <row r="30" spans="1:30" hidden="1">
      <c r="A30" s="7">
        <f t="shared" si="34"/>
        <v>490</v>
      </c>
      <c r="B30" s="3">
        <f t="shared" si="34"/>
        <v>-51.018500000000003</v>
      </c>
      <c r="D30" s="1">
        <f t="shared" si="33"/>
        <v>24</v>
      </c>
      <c r="E30" s="2">
        <f t="shared" si="35"/>
        <v>10</v>
      </c>
      <c r="F30" s="2">
        <f t="shared" si="35"/>
        <v>22.030809999999999</v>
      </c>
      <c r="G30" s="2">
        <f t="shared" si="4"/>
        <v>15.578135146032402</v>
      </c>
      <c r="H30" s="2">
        <f t="shared" si="27"/>
        <v>-9.4339622641509422</v>
      </c>
      <c r="I30" s="2">
        <f t="shared" si="22"/>
        <v>295</v>
      </c>
      <c r="J30" s="20">
        <f t="shared" si="23"/>
        <v>41.584537735849061</v>
      </c>
      <c r="K30" s="2">
        <f t="shared" si="28"/>
        <v>295</v>
      </c>
      <c r="L30" s="2">
        <f t="shared" si="24"/>
        <v>297.91655505980907</v>
      </c>
      <c r="M30" s="2">
        <f t="shared" si="29"/>
        <v>7.0939829095584095</v>
      </c>
      <c r="N30" s="2">
        <f t="shared" si="30"/>
        <v>81.97619537972038</v>
      </c>
      <c r="P30" s="4">
        <f t="shared" si="9"/>
        <v>1.1154414241385695</v>
      </c>
      <c r="Q30" s="4">
        <f t="shared" si="10"/>
        <v>1.3044356045333905</v>
      </c>
      <c r="R30" s="4">
        <f t="shared" si="11"/>
        <v>4.3785267464290963E-3</v>
      </c>
      <c r="S30" s="4">
        <f t="shared" si="25"/>
        <v>1.2814870515859365</v>
      </c>
      <c r="T30" s="2">
        <f t="shared" si="26"/>
        <v>427.02959356314437</v>
      </c>
      <c r="U30" s="6">
        <f t="shared" si="12"/>
        <v>0.89402751827264459</v>
      </c>
      <c r="V30" s="4">
        <f t="shared" si="13"/>
        <v>0.80150109089151145</v>
      </c>
      <c r="W30" s="4">
        <f t="shared" si="14"/>
        <v>0.98307484836880421</v>
      </c>
      <c r="X30" s="3">
        <f t="shared" si="15"/>
        <v>67.207048360201938</v>
      </c>
      <c r="Y30" s="8">
        <f t="shared" si="31"/>
        <v>66.549102188293404</v>
      </c>
      <c r="Z30" s="3">
        <f t="shared" si="32"/>
        <v>9.3810632245286882</v>
      </c>
      <c r="AA30" s="3">
        <f t="shared" si="18"/>
        <v>20022.092323209352</v>
      </c>
      <c r="AB30" s="3"/>
      <c r="AC30" s="3"/>
      <c r="AD30" s="3"/>
    </row>
    <row r="31" spans="1:30" hidden="1">
      <c r="A31" s="7">
        <f t="shared" si="34"/>
        <v>490</v>
      </c>
      <c r="B31" s="3">
        <f t="shared" si="34"/>
        <v>-51.018500000000003</v>
      </c>
      <c r="D31" s="1">
        <f t="shared" si="33"/>
        <v>25</v>
      </c>
      <c r="E31" s="2">
        <f t="shared" si="35"/>
        <v>10</v>
      </c>
      <c r="F31" s="2">
        <f t="shared" si="35"/>
        <v>22.030809999999999</v>
      </c>
      <c r="G31" s="2">
        <f t="shared" si="4"/>
        <v>15.578135146032402</v>
      </c>
      <c r="H31" s="2">
        <f t="shared" si="27"/>
        <v>-9.4339622641509422</v>
      </c>
      <c r="I31" s="2">
        <f t="shared" si="22"/>
        <v>285</v>
      </c>
      <c r="J31" s="20">
        <f t="shared" si="23"/>
        <v>41.584537735849061</v>
      </c>
      <c r="K31" s="2">
        <f t="shared" si="28"/>
        <v>285</v>
      </c>
      <c r="L31" s="2">
        <f t="shared" si="24"/>
        <v>288.017835869073</v>
      </c>
      <c r="M31" s="2">
        <f t="shared" si="29"/>
        <v>6.8535089126242266</v>
      </c>
      <c r="N31" s="2">
        <f t="shared" si="30"/>
        <v>81.698516920793594</v>
      </c>
      <c r="P31" s="4">
        <f t="shared" si="9"/>
        <v>1.1166242802820723</v>
      </c>
      <c r="Q31" s="4">
        <f t="shared" si="10"/>
        <v>1.3071187583841151</v>
      </c>
      <c r="R31" s="4">
        <f t="shared" si="11"/>
        <v>4.5383257409735709E-3</v>
      </c>
      <c r="S31" s="4">
        <f t="shared" si="25"/>
        <v>1.2814870515859365</v>
      </c>
      <c r="T31" s="2">
        <f t="shared" si="26"/>
        <v>427.02959356314437</v>
      </c>
      <c r="U31" s="6">
        <f t="shared" si="12"/>
        <v>0.86432212861950852</v>
      </c>
      <c r="V31" s="4">
        <f t="shared" si="13"/>
        <v>0.77404919799985961</v>
      </c>
      <c r="W31" s="4">
        <f t="shared" si="14"/>
        <v>0.97892355276075416</v>
      </c>
      <c r="X31" s="3">
        <f t="shared" si="15"/>
        <v>66.900227993658007</v>
      </c>
      <c r="Y31" s="8">
        <f t="shared" si="31"/>
        <v>66.199250892433639</v>
      </c>
      <c r="Z31" s="3">
        <f t="shared" si="32"/>
        <v>9.6591763046363042</v>
      </c>
      <c r="AA31" s="3">
        <f t="shared" si="18"/>
        <v>19268.458885880955</v>
      </c>
      <c r="AB31" s="3"/>
      <c r="AC31" s="3"/>
      <c r="AD31" s="3"/>
    </row>
    <row r="32" spans="1:30" hidden="1">
      <c r="A32" s="7">
        <f t="shared" si="34"/>
        <v>490</v>
      </c>
      <c r="B32" s="3">
        <f t="shared" si="34"/>
        <v>-51.018500000000003</v>
      </c>
      <c r="D32" s="1">
        <f t="shared" si="33"/>
        <v>26</v>
      </c>
      <c r="E32" s="2">
        <f t="shared" si="35"/>
        <v>10</v>
      </c>
      <c r="F32" s="2">
        <f t="shared" si="35"/>
        <v>22.030809999999999</v>
      </c>
      <c r="G32" s="2">
        <f t="shared" si="4"/>
        <v>15.578135146032402</v>
      </c>
      <c r="H32" s="2">
        <f t="shared" si="27"/>
        <v>-9.4339622641509422</v>
      </c>
      <c r="I32" s="2">
        <f t="shared" si="22"/>
        <v>275</v>
      </c>
      <c r="J32" s="20">
        <f t="shared" si="23"/>
        <v>41.584537735849061</v>
      </c>
      <c r="K32" s="2">
        <f t="shared" si="28"/>
        <v>275</v>
      </c>
      <c r="L32" s="2">
        <f t="shared" si="24"/>
        <v>278.12636296961182</v>
      </c>
      <c r="M32" s="2">
        <f t="shared" si="29"/>
        <v>6.6130349156900428</v>
      </c>
      <c r="N32" s="2">
        <f t="shared" si="30"/>
        <v>81.401079968970848</v>
      </c>
      <c r="P32" s="4">
        <f t="shared" si="9"/>
        <v>1.1178970634311614</v>
      </c>
      <c r="Q32" s="4">
        <f t="shared" si="10"/>
        <v>1.3100084280715645</v>
      </c>
      <c r="R32" s="4">
        <f t="shared" si="11"/>
        <v>4.7101195804825462E-3</v>
      </c>
      <c r="S32" s="4">
        <f t="shared" si="25"/>
        <v>1.2814870515859365</v>
      </c>
      <c r="T32" s="2">
        <f t="shared" si="26"/>
        <v>427.02959356314437</v>
      </c>
      <c r="U32" s="6">
        <f t="shared" si="12"/>
        <v>0.83463848459848033</v>
      </c>
      <c r="V32" s="4">
        <f t="shared" si="13"/>
        <v>0.74661479299062161</v>
      </c>
      <c r="W32" s="4">
        <f t="shared" si="14"/>
        <v>0.97430165537132063</v>
      </c>
      <c r="X32" s="3">
        <f t="shared" si="15"/>
        <v>66.558973297507194</v>
      </c>
      <c r="Y32" s="8">
        <f t="shared" si="31"/>
        <v>65.810797154868595</v>
      </c>
      <c r="Z32" s="3">
        <f t="shared" si="32"/>
        <v>9.9516784644106906</v>
      </c>
      <c r="AA32" s="3">
        <f t="shared" si="18"/>
        <v>18511.805166227186</v>
      </c>
      <c r="AB32" s="3"/>
      <c r="AC32" s="3"/>
      <c r="AD32" s="3"/>
    </row>
    <row r="33" spans="1:30" hidden="1">
      <c r="A33" s="7">
        <f t="shared" si="34"/>
        <v>490</v>
      </c>
      <c r="B33" s="3">
        <f t="shared" si="34"/>
        <v>-51.018500000000003</v>
      </c>
      <c r="D33" s="1">
        <f t="shared" si="33"/>
        <v>27</v>
      </c>
      <c r="E33" s="2">
        <f t="shared" si="35"/>
        <v>10</v>
      </c>
      <c r="F33" s="2">
        <f t="shared" si="35"/>
        <v>22.030809999999999</v>
      </c>
      <c r="G33" s="2">
        <f t="shared" si="4"/>
        <v>15.578135146032402</v>
      </c>
      <c r="H33" s="2">
        <f t="shared" si="27"/>
        <v>-9.4339622641509422</v>
      </c>
      <c r="I33" s="2">
        <f t="shared" si="22"/>
        <v>265</v>
      </c>
      <c r="J33" s="20">
        <f t="shared" si="23"/>
        <v>41.584537735849061</v>
      </c>
      <c r="K33" s="2">
        <f t="shared" si="28"/>
        <v>265</v>
      </c>
      <c r="L33" s="2">
        <f t="shared" si="24"/>
        <v>268.24293798477578</v>
      </c>
      <c r="M33" s="2">
        <f t="shared" si="29"/>
        <v>6.3725609187558598</v>
      </c>
      <c r="N33" s="2">
        <f t="shared" si="30"/>
        <v>81.081715714171253</v>
      </c>
      <c r="P33" s="4">
        <f t="shared" si="9"/>
        <v>1.1192703649158389</v>
      </c>
      <c r="Q33" s="4">
        <f t="shared" si="10"/>
        <v>1.3131292458837238</v>
      </c>
      <c r="R33" s="4">
        <f t="shared" si="11"/>
        <v>4.895298477375948E-3</v>
      </c>
      <c r="S33" s="4">
        <f t="shared" si="25"/>
        <v>1.2814870515859365</v>
      </c>
      <c r="T33" s="2">
        <f t="shared" si="26"/>
        <v>427.02959356314437</v>
      </c>
      <c r="U33" s="6">
        <f t="shared" si="12"/>
        <v>0.80497899182724808</v>
      </c>
      <c r="V33" s="4">
        <f t="shared" si="13"/>
        <v>0.71919977251231582</v>
      </c>
      <c r="W33" s="4">
        <f t="shared" si="14"/>
        <v>0.96919482604382157</v>
      </c>
      <c r="X33" s="3">
        <f t="shared" si="15"/>
        <v>66.182011418446081</v>
      </c>
      <c r="Y33" s="8">
        <f t="shared" si="31"/>
        <v>65.381900293992459</v>
      </c>
      <c r="Z33" s="3">
        <f t="shared" si="32"/>
        <v>10.259909811385089</v>
      </c>
      <c r="AA33" s="3">
        <f t="shared" si="18"/>
        <v>17752.857184625955</v>
      </c>
      <c r="AB33" s="3"/>
      <c r="AC33" s="3"/>
      <c r="AD33" s="3"/>
    </row>
    <row r="34" spans="1:30" hidden="1">
      <c r="A34" s="7">
        <f t="shared" si="34"/>
        <v>490</v>
      </c>
      <c r="B34" s="3">
        <f t="shared" si="34"/>
        <v>-51.018500000000003</v>
      </c>
      <c r="D34" s="1">
        <f t="shared" si="33"/>
        <v>28</v>
      </c>
      <c r="E34" s="2">
        <f t="shared" si="35"/>
        <v>10</v>
      </c>
      <c r="F34" s="2">
        <f t="shared" si="35"/>
        <v>22.030809999999999</v>
      </c>
      <c r="G34" s="2">
        <f t="shared" si="4"/>
        <v>15.578135146032402</v>
      </c>
      <c r="H34" s="2">
        <f t="shared" si="27"/>
        <v>-9.4339622641509422</v>
      </c>
      <c r="I34" s="2">
        <f t="shared" si="22"/>
        <v>255</v>
      </c>
      <c r="J34" s="20">
        <f t="shared" si="23"/>
        <v>41.584537735849061</v>
      </c>
      <c r="K34" s="2">
        <f t="shared" si="28"/>
        <v>255</v>
      </c>
      <c r="L34" s="2">
        <f t="shared" si="24"/>
        <v>258.36848449202211</v>
      </c>
      <c r="M34" s="2">
        <f t="shared" si="29"/>
        <v>6.132086921821676</v>
      </c>
      <c r="N34" s="2">
        <f t="shared" si="30"/>
        <v>80.737928847670617</v>
      </c>
      <c r="P34" s="4">
        <f t="shared" si="9"/>
        <v>1.1207564958171874</v>
      </c>
      <c r="Q34" s="4">
        <f t="shared" si="10"/>
        <v>1.3165098962955073</v>
      </c>
      <c r="R34" s="4">
        <f t="shared" si="11"/>
        <v>5.0954740044394167E-3</v>
      </c>
      <c r="S34" s="4">
        <f t="shared" si="25"/>
        <v>1.2814870515859365</v>
      </c>
      <c r="T34" s="2">
        <f t="shared" si="26"/>
        <v>427.02959356314437</v>
      </c>
      <c r="U34" s="6">
        <f t="shared" si="12"/>
        <v>0.77534642189956182</v>
      </c>
      <c r="V34" s="4">
        <f t="shared" si="13"/>
        <v>0.69180631546036808</v>
      </c>
      <c r="W34" s="4">
        <f t="shared" si="14"/>
        <v>0.96358673021728569</v>
      </c>
      <c r="X34" s="3">
        <f t="shared" si="15"/>
        <v>65.767880487586723</v>
      </c>
      <c r="Y34" s="8">
        <f t="shared" si="31"/>
        <v>64.910430377403344</v>
      </c>
      <c r="Z34" s="3">
        <f t="shared" si="32"/>
        <v>10.585373495997365</v>
      </c>
      <c r="AA34" s="3">
        <f t="shared" si="18"/>
        <v>16992.347609830213</v>
      </c>
      <c r="AB34" s="3"/>
      <c r="AC34" s="3"/>
      <c r="AD34" s="3"/>
    </row>
    <row r="35" spans="1:30" hidden="1">
      <c r="A35" s="7">
        <f t="shared" si="34"/>
        <v>490</v>
      </c>
      <c r="B35" s="3">
        <f t="shared" si="34"/>
        <v>-51.018500000000003</v>
      </c>
      <c r="D35" s="1">
        <f t="shared" si="33"/>
        <v>29</v>
      </c>
      <c r="E35" s="2">
        <f t="shared" si="35"/>
        <v>10</v>
      </c>
      <c r="F35" s="2">
        <f t="shared" si="35"/>
        <v>22.030809999999999</v>
      </c>
      <c r="G35" s="2">
        <f t="shared" si="4"/>
        <v>15.578135146032402</v>
      </c>
      <c r="H35" s="2">
        <f t="shared" si="27"/>
        <v>-9.4339622641509422</v>
      </c>
      <c r="I35" s="2">
        <f t="shared" si="22"/>
        <v>245</v>
      </c>
      <c r="J35" s="20">
        <f t="shared" si="23"/>
        <v>41.584537735849061</v>
      </c>
      <c r="K35" s="2">
        <f t="shared" si="28"/>
        <v>245</v>
      </c>
      <c r="L35" s="2">
        <f t="shared" si="24"/>
        <v>248.50407195598277</v>
      </c>
      <c r="M35" s="2">
        <f t="shared" si="29"/>
        <v>5.8916129248874931</v>
      </c>
      <c r="N35" s="2">
        <f t="shared" si="30"/>
        <v>80.366834363046692</v>
      </c>
      <c r="P35" s="4">
        <f t="shared" si="9"/>
        <v>1.1223698483221363</v>
      </c>
      <c r="Q35" s="4">
        <f t="shared" si="10"/>
        <v>1.3201839790385905</v>
      </c>
      <c r="R35" s="4">
        <f t="shared" si="11"/>
        <v>5.3125245338934857E-3</v>
      </c>
      <c r="S35" s="4">
        <f t="shared" si="25"/>
        <v>1.2814870515859365</v>
      </c>
      <c r="T35" s="2">
        <f t="shared" si="26"/>
        <v>427.02959356314437</v>
      </c>
      <c r="U35" s="6">
        <f t="shared" si="12"/>
        <v>0.7457439842067578</v>
      </c>
      <c r="V35" s="4">
        <f t="shared" si="13"/>
        <v>0.66443693700574058</v>
      </c>
      <c r="W35" s="4">
        <f t="shared" si="14"/>
        <v>0.95745881442912917</v>
      </c>
      <c r="X35" s="3">
        <f t="shared" si="15"/>
        <v>65.314903510771572</v>
      </c>
      <c r="Y35" s="8">
        <f t="shared" si="31"/>
        <v>64.393920124469744</v>
      </c>
      <c r="Z35" s="3">
        <f t="shared" si="32"/>
        <v>10.929760821939842</v>
      </c>
      <c r="AA35" s="3">
        <f t="shared" si="18"/>
        <v>16231.01948183885</v>
      </c>
      <c r="AB35" s="3"/>
      <c r="AC35" s="3"/>
      <c r="AD35" s="3"/>
    </row>
    <row r="36" spans="1:30" hidden="1">
      <c r="A36" s="7">
        <f t="shared" ref="A36:B42" si="36">A35</f>
        <v>490</v>
      </c>
      <c r="B36" s="3">
        <f t="shared" si="36"/>
        <v>-51.018500000000003</v>
      </c>
      <c r="D36" s="1">
        <f t="shared" si="33"/>
        <v>30</v>
      </c>
      <c r="E36" s="2">
        <f t="shared" si="35"/>
        <v>10</v>
      </c>
      <c r="F36" s="2">
        <f t="shared" si="35"/>
        <v>22.030809999999999</v>
      </c>
      <c r="G36" s="2">
        <f t="shared" si="4"/>
        <v>15.578135146032402</v>
      </c>
      <c r="H36" s="2">
        <f t="shared" si="27"/>
        <v>-9.4339622641509422</v>
      </c>
      <c r="I36" s="2">
        <f t="shared" si="22"/>
        <v>235</v>
      </c>
      <c r="J36" s="20">
        <f t="shared" si="23"/>
        <v>41.584537735849061</v>
      </c>
      <c r="K36" s="2">
        <f t="shared" si="28"/>
        <v>235</v>
      </c>
      <c r="L36" s="2">
        <f t="shared" si="24"/>
        <v>238.65094548043228</v>
      </c>
      <c r="M36" s="2">
        <f t="shared" si="29"/>
        <v>5.6511389279533093</v>
      </c>
      <c r="N36" s="2">
        <f t="shared" si="30"/>
        <v>79.965079261053432</v>
      </c>
      <c r="P36" s="4">
        <f t="shared" si="9"/>
        <v>1.1241273515231027</v>
      </c>
      <c r="Q36" s="4">
        <f t="shared" si="10"/>
        <v>1.3241911009635625</v>
      </c>
      <c r="R36" s="4">
        <f t="shared" si="11"/>
        <v>5.5486522305529138E-3</v>
      </c>
      <c r="S36" s="4">
        <f t="shared" si="25"/>
        <v>1.2814870515859365</v>
      </c>
      <c r="T36" s="2">
        <f t="shared" si="26"/>
        <v>427.02959356314437</v>
      </c>
      <c r="U36" s="6">
        <f t="shared" si="12"/>
        <v>0.71617541522141082</v>
      </c>
      <c r="V36" s="4">
        <f t="shared" si="13"/>
        <v>0.63709455539094428</v>
      </c>
      <c r="W36" s="4">
        <f t="shared" si="14"/>
        <v>0.9507900525096088</v>
      </c>
      <c r="X36" s="3">
        <f t="shared" si="15"/>
        <v>64.821156517567218</v>
      </c>
      <c r="Y36" s="8">
        <f t="shared" si="31"/>
        <v>63.829505267463077</v>
      </c>
      <c r="Z36" s="3">
        <f t="shared" si="32"/>
        <v>11.294980725342107</v>
      </c>
      <c r="AA36" s="3">
        <f t="shared" si="18"/>
        <v>15469.630290052502</v>
      </c>
      <c r="AB36" s="3"/>
      <c r="AC36" s="3"/>
      <c r="AD36" s="3"/>
    </row>
    <row r="37" spans="1:30" hidden="1">
      <c r="A37" s="7">
        <f t="shared" si="36"/>
        <v>490</v>
      </c>
      <c r="B37" s="3">
        <f t="shared" si="36"/>
        <v>-51.018500000000003</v>
      </c>
      <c r="D37" s="1">
        <f t="shared" si="33"/>
        <v>31</v>
      </c>
      <c r="E37" s="2">
        <f t="shared" ref="E37:F42" si="37">E36</f>
        <v>10</v>
      </c>
      <c r="F37" s="2">
        <f t="shared" si="37"/>
        <v>22.030809999999999</v>
      </c>
      <c r="G37" s="2">
        <f t="shared" si="4"/>
        <v>15.578135146032402</v>
      </c>
      <c r="H37" s="2">
        <f t="shared" si="27"/>
        <v>-9.4339622641509422</v>
      </c>
      <c r="I37" s="2">
        <f t="shared" si="22"/>
        <v>225</v>
      </c>
      <c r="J37" s="20">
        <f t="shared" si="23"/>
        <v>41.584537735849061</v>
      </c>
      <c r="K37" s="2">
        <f t="shared" si="28"/>
        <v>225</v>
      </c>
      <c r="L37" s="2">
        <f t="shared" si="24"/>
        <v>228.81056308375332</v>
      </c>
      <c r="M37" s="2">
        <f t="shared" si="29"/>
        <v>5.4106649310191264</v>
      </c>
      <c r="N37" s="2">
        <f t="shared" si="30"/>
        <v>79.528744835212592</v>
      </c>
      <c r="P37" s="4">
        <f t="shared" si="9"/>
        <v>1.1260490515538617</v>
      </c>
      <c r="Q37" s="4">
        <f t="shared" si="10"/>
        <v>1.3285782701915723</v>
      </c>
      <c r="R37" s="4">
        <f t="shared" si="11"/>
        <v>5.8064551403829304E-3</v>
      </c>
      <c r="S37" s="4">
        <f t="shared" si="25"/>
        <v>1.2814870515859365</v>
      </c>
      <c r="T37" s="2">
        <f t="shared" si="26"/>
        <v>427.02959356314437</v>
      </c>
      <c r="U37" s="6">
        <f t="shared" si="12"/>
        <v>0.68664509035849564</v>
      </c>
      <c r="V37" s="4">
        <f t="shared" si="13"/>
        <v>0.60978257511160627</v>
      </c>
      <c r="W37" s="4">
        <f t="shared" si="14"/>
        <v>0.94355664531916572</v>
      </c>
      <c r="X37" s="3">
        <f t="shared" si="15"/>
        <v>64.284429519460375</v>
      </c>
      <c r="Y37" s="8">
        <f t="shared" si="31"/>
        <v>63.213850125372986</v>
      </c>
      <c r="Z37" s="3">
        <f t="shared" si="32"/>
        <v>11.683194382075026</v>
      </c>
      <c r="AA37" s="3">
        <f t="shared" si="18"/>
        <v>14708.956515865582</v>
      </c>
      <c r="AB37" s="3"/>
      <c r="AC37" s="3"/>
      <c r="AD37" s="3"/>
    </row>
    <row r="38" spans="1:30" hidden="1">
      <c r="A38" s="7">
        <f t="shared" si="36"/>
        <v>490</v>
      </c>
      <c r="B38" s="3">
        <f t="shared" si="36"/>
        <v>-51.018500000000003</v>
      </c>
      <c r="D38" s="1">
        <f t="shared" si="33"/>
        <v>32</v>
      </c>
      <c r="E38" s="2">
        <f t="shared" si="37"/>
        <v>10</v>
      </c>
      <c r="F38" s="2">
        <f t="shared" si="37"/>
        <v>22.030809999999999</v>
      </c>
      <c r="G38" s="2">
        <f t="shared" si="4"/>
        <v>15.578135146032402</v>
      </c>
      <c r="H38" s="2">
        <f t="shared" si="27"/>
        <v>-9.4339622641509422</v>
      </c>
      <c r="I38" s="2">
        <f t="shared" si="22"/>
        <v>215</v>
      </c>
      <c r="J38" s="20">
        <f t="shared" si="23"/>
        <v>41.584537735849061</v>
      </c>
      <c r="K38" s="2">
        <f t="shared" si="28"/>
        <v>215</v>
      </c>
      <c r="L38" s="2">
        <f t="shared" si="24"/>
        <v>218.98464279191876</v>
      </c>
      <c r="M38" s="2">
        <f t="shared" si="29"/>
        <v>5.1701909340849426</v>
      </c>
      <c r="N38" s="2">
        <f t="shared" si="30"/>
        <v>79.05322376280364</v>
      </c>
      <c r="P38" s="4">
        <f t="shared" si="9"/>
        <v>1.1281588571910826</v>
      </c>
      <c r="Q38" s="4">
        <f t="shared" si="10"/>
        <v>1.333401694122978</v>
      </c>
      <c r="R38" s="4">
        <f t="shared" si="11"/>
        <v>6.0890191984375305E-3</v>
      </c>
      <c r="S38" s="4">
        <f t="shared" si="25"/>
        <v>1.2814870515859365</v>
      </c>
      <c r="T38" s="2">
        <f t="shared" si="26"/>
        <v>427.02959356314437</v>
      </c>
      <c r="U38" s="6">
        <f t="shared" si="12"/>
        <v>0.65715816529825488</v>
      </c>
      <c r="V38" s="4">
        <f t="shared" si="13"/>
        <v>0.5825049913045609</v>
      </c>
      <c r="W38" s="4">
        <f t="shared" si="14"/>
        <v>0.93573166533945762</v>
      </c>
      <c r="X38" s="3">
        <f t="shared" si="15"/>
        <v>63.702178372639729</v>
      </c>
      <c r="Y38" s="8">
        <f t="shared" si="31"/>
        <v>62.543054049372671</v>
      </c>
      <c r="Z38" s="3">
        <f t="shared" si="32"/>
        <v>12.096855773169237</v>
      </c>
      <c r="AA38" s="3">
        <f t="shared" si="18"/>
        <v>13949.798775999603</v>
      </c>
      <c r="AB38" s="3"/>
      <c r="AC38" s="3"/>
      <c r="AD38" s="3"/>
    </row>
    <row r="39" spans="1:30" hidden="1">
      <c r="A39" s="7">
        <f t="shared" si="36"/>
        <v>490</v>
      </c>
      <c r="B39" s="3">
        <f t="shared" si="36"/>
        <v>-51.018500000000003</v>
      </c>
      <c r="D39" s="1">
        <f t="shared" si="33"/>
        <v>33</v>
      </c>
      <c r="E39" s="2">
        <f t="shared" si="37"/>
        <v>10</v>
      </c>
      <c r="F39" s="2">
        <f t="shared" si="37"/>
        <v>22.030809999999999</v>
      </c>
      <c r="G39" s="2">
        <f t="shared" si="4"/>
        <v>15.578135146032402</v>
      </c>
      <c r="H39" s="2">
        <f t="shared" si="27"/>
        <v>-9.4339622641509422</v>
      </c>
      <c r="I39" s="2">
        <f t="shared" si="22"/>
        <v>205</v>
      </c>
      <c r="J39" s="20">
        <f t="shared" si="23"/>
        <v>41.584537735849061</v>
      </c>
      <c r="K39" s="2">
        <f t="shared" si="28"/>
        <v>205</v>
      </c>
      <c r="L39" s="2">
        <f t="shared" si="24"/>
        <v>209.17522266918769</v>
      </c>
      <c r="M39" s="2">
        <f t="shared" si="29"/>
        <v>4.9297169371507596</v>
      </c>
      <c r="N39" s="2">
        <f t="shared" si="30"/>
        <v>78.533064212047094</v>
      </c>
      <c r="P39" s="4">
        <f t="shared" si="9"/>
        <v>1.1304855082370824</v>
      </c>
      <c r="Q39" s="4">
        <f t="shared" si="10"/>
        <v>1.3387291235080523</v>
      </c>
      <c r="R39" s="4">
        <f t="shared" si="11"/>
        <v>6.4000368037148607E-3</v>
      </c>
      <c r="S39" s="4">
        <f t="shared" si="25"/>
        <v>1.2814870515859365</v>
      </c>
      <c r="T39" s="2">
        <f t="shared" si="26"/>
        <v>427.02959356314437</v>
      </c>
      <c r="U39" s="6">
        <f t="shared" si="12"/>
        <v>0.62772075613427492</v>
      </c>
      <c r="V39" s="4">
        <f t="shared" si="13"/>
        <v>0.55526652182668312</v>
      </c>
      <c r="W39" s="4">
        <f t="shared" si="14"/>
        <v>0.92728463560498187</v>
      </c>
      <c r="X39" s="3">
        <f t="shared" si="15"/>
        <v>63.071465021304668</v>
      </c>
      <c r="Y39" s="8">
        <f t="shared" si="31"/>
        <v>61.812532882136829</v>
      </c>
      <c r="Z39" s="3">
        <f t="shared" si="32"/>
        <v>12.538759054564039</v>
      </c>
      <c r="AA39" s="3">
        <f t="shared" si="18"/>
        <v>13192.987739903287</v>
      </c>
      <c r="AB39" s="3"/>
      <c r="AC39" s="3"/>
      <c r="AD39" s="3"/>
    </row>
    <row r="40" spans="1:30" hidden="1">
      <c r="A40" s="7">
        <f t="shared" si="36"/>
        <v>490</v>
      </c>
      <c r="B40" s="3">
        <f t="shared" si="36"/>
        <v>-51.018500000000003</v>
      </c>
      <c r="D40" s="1">
        <f t="shared" si="33"/>
        <v>34</v>
      </c>
      <c r="E40" s="2">
        <f t="shared" si="37"/>
        <v>10</v>
      </c>
      <c r="F40" s="2">
        <f t="shared" si="37"/>
        <v>22.030809999999999</v>
      </c>
      <c r="G40" s="2">
        <f t="shared" si="4"/>
        <v>15.578135146032402</v>
      </c>
      <c r="H40" s="2">
        <f t="shared" si="27"/>
        <v>-9.4339622641509422</v>
      </c>
      <c r="I40" s="2">
        <f t="shared" si="22"/>
        <v>195</v>
      </c>
      <c r="J40" s="20">
        <f t="shared" si="23"/>
        <v>41.584537735849061</v>
      </c>
      <c r="K40" s="2">
        <f t="shared" si="28"/>
        <v>195</v>
      </c>
      <c r="L40" s="2">
        <f t="shared" si="24"/>
        <v>199.38473807868107</v>
      </c>
      <c r="M40" s="2">
        <f t="shared" si="29"/>
        <v>4.6892429402165758</v>
      </c>
      <c r="N40" s="2">
        <f t="shared" si="30"/>
        <v>77.961770354397643</v>
      </c>
      <c r="P40" s="4">
        <f t="shared" si="9"/>
        <v>1.1330638476572732</v>
      </c>
      <c r="Q40" s="4">
        <f t="shared" si="10"/>
        <v>1.3446429445153751</v>
      </c>
      <c r="R40" s="4">
        <f t="shared" si="11"/>
        <v>6.7439612353115668E-3</v>
      </c>
      <c r="S40" s="4">
        <f t="shared" si="25"/>
        <v>1.2814870515859365</v>
      </c>
      <c r="T40" s="2">
        <f t="shared" si="26"/>
        <v>427.02959356314437</v>
      </c>
      <c r="U40" s="6">
        <f t="shared" si="12"/>
        <v>0.59834017122726968</v>
      </c>
      <c r="V40" s="4">
        <f t="shared" si="13"/>
        <v>0.52807277583200618</v>
      </c>
      <c r="W40" s="4">
        <f t="shared" si="14"/>
        <v>0.91818103034902288</v>
      </c>
      <c r="X40" s="3">
        <f t="shared" si="15"/>
        <v>62.388882746163688</v>
      </c>
      <c r="Y40" s="8">
        <f t="shared" si="31"/>
        <v>61.016867453019628</v>
      </c>
      <c r="Z40" s="3">
        <f t="shared" si="32"/>
        <v>13.012093472427665</v>
      </c>
      <c r="AA40" s="3">
        <f t="shared" si="18"/>
        <v>12439.391045365392</v>
      </c>
      <c r="AB40" s="3"/>
      <c r="AC40" s="3"/>
      <c r="AD40" s="3"/>
    </row>
    <row r="41" spans="1:30" hidden="1">
      <c r="A41" s="7">
        <f t="shared" si="36"/>
        <v>490</v>
      </c>
      <c r="B41" s="3">
        <f t="shared" si="36"/>
        <v>-51.018500000000003</v>
      </c>
      <c r="D41" s="1">
        <f t="shared" si="33"/>
        <v>35</v>
      </c>
      <c r="E41" s="2">
        <f t="shared" si="37"/>
        <v>10</v>
      </c>
      <c r="F41" s="2">
        <f t="shared" si="37"/>
        <v>22.030809999999999</v>
      </c>
      <c r="G41" s="2">
        <f t="shared" si="4"/>
        <v>15.578135146032402</v>
      </c>
      <c r="H41" s="2">
        <f t="shared" si="27"/>
        <v>-9.4339622641509422</v>
      </c>
      <c r="I41" s="2">
        <f t="shared" si="22"/>
        <v>185</v>
      </c>
      <c r="J41" s="20">
        <f t="shared" si="23"/>
        <v>41.584537735849061</v>
      </c>
      <c r="K41" s="2">
        <f t="shared" si="28"/>
        <v>185</v>
      </c>
      <c r="L41" s="2">
        <f t="shared" si="24"/>
        <v>189.61612214868296</v>
      </c>
      <c r="M41" s="2">
        <f t="shared" si="29"/>
        <v>4.448768943282392</v>
      </c>
      <c r="N41" s="2">
        <f t="shared" si="30"/>
        <v>77.331544674624425</v>
      </c>
      <c r="P41" s="4">
        <f t="shared" si="9"/>
        <v>1.135936513578256</v>
      </c>
      <c r="Q41" s="4">
        <f t="shared" si="10"/>
        <v>1.3512443099808751</v>
      </c>
      <c r="R41" s="4">
        <f t="shared" si="11"/>
        <v>7.1262100219586233E-3</v>
      </c>
      <c r="S41" s="4">
        <f t="shared" si="25"/>
        <v>1.2814870515859365</v>
      </c>
      <c r="T41" s="2">
        <f t="shared" si="26"/>
        <v>427.02959356314437</v>
      </c>
      <c r="U41" s="6">
        <f t="shared" si="12"/>
        <v>0.56902521269768569</v>
      </c>
      <c r="V41" s="4">
        <f t="shared" si="13"/>
        <v>0.50093047093382737</v>
      </c>
      <c r="W41" s="4">
        <f t="shared" si="14"/>
        <v>0.90838168238470995</v>
      </c>
      <c r="X41" s="3">
        <f t="shared" si="15"/>
        <v>61.650461861798092</v>
      </c>
      <c r="Y41" s="8">
        <f t="shared" si="31"/>
        <v>60.149608140859591</v>
      </c>
      <c r="Z41" s="3">
        <f t="shared" si="32"/>
        <v>13.520506213676271</v>
      </c>
      <c r="AA41" s="3">
        <f t="shared" si="18"/>
        <v>11689.921506909428</v>
      </c>
      <c r="AB41" s="3"/>
      <c r="AC41" s="3"/>
      <c r="AD41" s="3"/>
    </row>
    <row r="42" spans="1:30" hidden="1">
      <c r="A42" s="7">
        <f t="shared" si="36"/>
        <v>490</v>
      </c>
      <c r="B42" s="3">
        <f t="shared" si="36"/>
        <v>-51.018500000000003</v>
      </c>
      <c r="D42" s="1">
        <f t="shared" si="33"/>
        <v>36</v>
      </c>
      <c r="E42" s="2">
        <f t="shared" si="37"/>
        <v>10</v>
      </c>
      <c r="F42" s="2">
        <f t="shared" si="37"/>
        <v>22.030809999999999</v>
      </c>
      <c r="G42" s="2">
        <f t="shared" si="4"/>
        <v>15.578135146032402</v>
      </c>
      <c r="H42" s="2">
        <f t="shared" si="27"/>
        <v>-9.4339622641509422</v>
      </c>
      <c r="I42" s="2">
        <f t="shared" si="22"/>
        <v>175</v>
      </c>
      <c r="J42" s="20">
        <f t="shared" si="23"/>
        <v>41.584537735849061</v>
      </c>
      <c r="K42" s="2">
        <f t="shared" si="28"/>
        <v>175</v>
      </c>
      <c r="L42" s="2">
        <f t="shared" si="24"/>
        <v>179.87293787199968</v>
      </c>
      <c r="M42" s="2">
        <f t="shared" si="29"/>
        <v>4.2082949463482091</v>
      </c>
      <c r="N42" s="2">
        <f t="shared" si="30"/>
        <v>76.632951750339359</v>
      </c>
      <c r="P42" s="4">
        <f t="shared" si="9"/>
        <v>1.1391562203305836</v>
      </c>
      <c r="Q42" s="4">
        <f t="shared" si="10"/>
        <v>1.3586587367686611</v>
      </c>
      <c r="R42" s="4">
        <f t="shared" si="11"/>
        <v>7.5534360690517176E-3</v>
      </c>
      <c r="S42" s="4">
        <f t="shared" si="25"/>
        <v>1.2814870515859365</v>
      </c>
      <c r="T42" s="2">
        <f t="shared" si="26"/>
        <v>427.02959356314437</v>
      </c>
      <c r="U42" s="6">
        <f t="shared" si="12"/>
        <v>0.53978657284698162</v>
      </c>
      <c r="V42" s="4">
        <f t="shared" si="13"/>
        <v>0.47384771571570344</v>
      </c>
      <c r="W42" s="4">
        <f t="shared" si="14"/>
        <v>0.89784207981649067</v>
      </c>
      <c r="X42" s="3">
        <f t="shared" si="15"/>
        <v>60.851549653504911</v>
      </c>
      <c r="Y42" s="8">
        <f t="shared" si="31"/>
        <v>59.203020283914896</v>
      </c>
      <c r="Z42" s="3">
        <f t="shared" si="32"/>
        <v>14.068172748986818</v>
      </c>
      <c r="AA42" s="3">
        <f t="shared" si="18"/>
        <v>10945.547010239792</v>
      </c>
      <c r="AB42" s="3"/>
      <c r="AC42" s="3"/>
      <c r="AD42" s="3"/>
    </row>
    <row r="43" spans="1:30" hidden="1">
      <c r="A43" s="7">
        <f t="shared" ref="A43:A59" si="38">A42</f>
        <v>490</v>
      </c>
      <c r="B43" s="3">
        <f t="shared" ref="B43:B59" si="39">B42</f>
        <v>-51.018500000000003</v>
      </c>
      <c r="D43" s="1">
        <f t="shared" si="33"/>
        <v>37</v>
      </c>
      <c r="E43" s="2">
        <f t="shared" ref="E43:E59" si="40">E42</f>
        <v>10</v>
      </c>
      <c r="F43" s="2">
        <f t="shared" ref="F43:F59" si="41">F42</f>
        <v>22.030809999999999</v>
      </c>
      <c r="G43" s="2">
        <f t="shared" ref="G43:G50" si="42">F43/SQRT(2)</f>
        <v>15.578135146032402</v>
      </c>
      <c r="H43" s="2">
        <f t="shared" si="27"/>
        <v>-9.4339622641509422</v>
      </c>
      <c r="I43" s="2">
        <f t="shared" si="22"/>
        <v>165</v>
      </c>
      <c r="J43" s="20">
        <f t="shared" ref="J43:J50" si="43">H43-B43</f>
        <v>41.584537735849061</v>
      </c>
      <c r="K43" s="2">
        <f t="shared" ref="K43:K50" si="44">I43</f>
        <v>165</v>
      </c>
      <c r="L43" s="2">
        <f t="shared" ref="L43:L50" si="45">SQRT(J43^2+K43^2)</f>
        <v>170.1595538860638</v>
      </c>
      <c r="M43" s="2">
        <f t="shared" ref="M43:M50" si="46">IF(J43=0,"infinity",ABS(K43/J43))</f>
        <v>3.9678209494140257</v>
      </c>
      <c r="N43" s="2">
        <f t="shared" ref="N43:N50" si="47">IF(J43=0,90,ATAN(M43)*180/PI())</f>
        <v>75.854474892710826</v>
      </c>
      <c r="P43" s="4">
        <f t="shared" ref="P43:P50" si="48">0.209 * (N43+2)^-0.32 * F43</f>
        <v>1.1427888794239087</v>
      </c>
      <c r="Q43" s="4">
        <f t="shared" ref="Q43:Q50" si="49">MIN(1.087*(N43+6)^-0.65 * F43, 0.17*F43)</f>
        <v>1.3670438066990507</v>
      </c>
      <c r="R43" s="4">
        <f t="shared" ref="R43:R50" si="50">Q43/L43</f>
        <v>8.0338939276627507E-3</v>
      </c>
      <c r="S43" s="4">
        <f t="shared" si="25"/>
        <v>1.2814870515859365</v>
      </c>
      <c r="T43" s="2">
        <f t="shared" si="26"/>
        <v>427.02959356314437</v>
      </c>
      <c r="U43" s="6">
        <f t="shared" ref="U43:U50" si="51">S43*L43/T43</f>
        <v>0.51063736166188278</v>
      </c>
      <c r="V43" s="4">
        <f t="shared" ref="V43:V50" si="52">U43/P43</f>
        <v>0.44683438109697055</v>
      </c>
      <c r="W43" s="4">
        <f t="shared" ref="W43:W50" si="53">POWER(V43*(1.9-0.9*V43),0.3)</f>
        <v>0.8865115325862355</v>
      </c>
      <c r="X43" s="3">
        <f t="shared" ref="X43:X50" si="54">0.6*A43*G43*E43*(1+0.5*SIN(N43*PI()/180)^1.5)*W43/1000</f>
        <v>59.986656012104902</v>
      </c>
      <c r="Y43" s="8">
        <f t="shared" ref="Y43:Y50" si="55">X43*SIN(N43*PI()/180)</f>
        <v>58.167749126944237</v>
      </c>
      <c r="Z43" s="3">
        <f t="shared" ref="Z43:Z50" si="56">X43*COS(N43*PI()/180)</f>
        <v>14.659872476235243</v>
      </c>
      <c r="AA43" s="3">
        <f t="shared" ref="AA43:AA50" si="57">L43*X43</f>
        <v>10207.302626136538</v>
      </c>
      <c r="AB43" s="3"/>
      <c r="AC43" s="3"/>
      <c r="AD43" s="3"/>
    </row>
    <row r="44" spans="1:30" hidden="1">
      <c r="A44" s="7">
        <f t="shared" si="38"/>
        <v>490</v>
      </c>
      <c r="B44" s="3">
        <f t="shared" si="39"/>
        <v>-51.018500000000003</v>
      </c>
      <c r="D44" s="1">
        <f t="shared" si="33"/>
        <v>38</v>
      </c>
      <c r="E44" s="2">
        <f t="shared" si="40"/>
        <v>10</v>
      </c>
      <c r="F44" s="2">
        <f t="shared" si="41"/>
        <v>22.030809999999999</v>
      </c>
      <c r="G44" s="2">
        <f t="shared" si="42"/>
        <v>15.578135146032402</v>
      </c>
      <c r="H44" s="2">
        <f t="shared" si="27"/>
        <v>-9.4339622641509422</v>
      </c>
      <c r="I44" s="2">
        <f t="shared" si="22"/>
        <v>155</v>
      </c>
      <c r="J44" s="20">
        <f t="shared" si="43"/>
        <v>41.584537735849061</v>
      </c>
      <c r="K44" s="2">
        <f t="shared" si="44"/>
        <v>155</v>
      </c>
      <c r="L44" s="2">
        <f t="shared" si="45"/>
        <v>160.48138140826259</v>
      </c>
      <c r="M44" s="2">
        <f t="shared" si="46"/>
        <v>3.7273469524798424</v>
      </c>
      <c r="N44" s="2">
        <f t="shared" si="47"/>
        <v>74.981924928318804</v>
      </c>
      <c r="P44" s="4">
        <f t="shared" si="48"/>
        <v>1.1469179397000766</v>
      </c>
      <c r="Q44" s="4">
        <f t="shared" si="49"/>
        <v>1.3765999419890025</v>
      </c>
      <c r="R44" s="4">
        <f t="shared" si="50"/>
        <v>8.5779417519279057E-3</v>
      </c>
      <c r="S44" s="4">
        <f t="shared" si="25"/>
        <v>1.2814870515859365</v>
      </c>
      <c r="T44" s="2">
        <f t="shared" si="26"/>
        <v>427.02959356314437</v>
      </c>
      <c r="U44" s="6">
        <f t="shared" si="51"/>
        <v>0.48159381784134503</v>
      </c>
      <c r="V44" s="4">
        <f t="shared" si="52"/>
        <v>0.41990259387457451</v>
      </c>
      <c r="W44" s="4">
        <f t="shared" si="53"/>
        <v>0.87433218848247263</v>
      </c>
      <c r="X44" s="3">
        <f t="shared" si="54"/>
        <v>59.049252915314305</v>
      </c>
      <c r="Y44" s="8">
        <f t="shared" si="55"/>
        <v>57.032374232806056</v>
      </c>
      <c r="Z44" s="3">
        <f t="shared" si="56"/>
        <v>15.301063989994763</v>
      </c>
      <c r="AA44" s="3">
        <f t="shared" si="57"/>
        <v>9476.3056789755174</v>
      </c>
      <c r="AB44" s="3"/>
      <c r="AC44" s="3"/>
      <c r="AD44" s="3"/>
    </row>
    <row r="45" spans="1:30" hidden="1">
      <c r="A45" s="7">
        <f t="shared" si="38"/>
        <v>490</v>
      </c>
      <c r="B45" s="3">
        <f t="shared" si="39"/>
        <v>-51.018500000000003</v>
      </c>
      <c r="D45" s="1">
        <f t="shared" si="33"/>
        <v>39</v>
      </c>
      <c r="E45" s="2">
        <f t="shared" si="40"/>
        <v>10</v>
      </c>
      <c r="F45" s="2">
        <f t="shared" si="41"/>
        <v>22.030809999999999</v>
      </c>
      <c r="G45" s="2">
        <f t="shared" si="42"/>
        <v>15.578135146032402</v>
      </c>
      <c r="H45" s="2">
        <f t="shared" si="27"/>
        <v>-9.4339622641509422</v>
      </c>
      <c r="I45" s="2">
        <f t="shared" si="22"/>
        <v>145</v>
      </c>
      <c r="J45" s="20">
        <f t="shared" si="43"/>
        <v>41.584537735849061</v>
      </c>
      <c r="K45" s="2">
        <f t="shared" si="44"/>
        <v>145</v>
      </c>
      <c r="L45" s="2">
        <f t="shared" si="45"/>
        <v>150.84519806312778</v>
      </c>
      <c r="M45" s="2">
        <f t="shared" si="46"/>
        <v>3.486872955545659</v>
      </c>
      <c r="N45" s="2">
        <f t="shared" si="47"/>
        <v>73.997642508315508</v>
      </c>
      <c r="P45" s="4">
        <f t="shared" si="48"/>
        <v>1.1516505321095323</v>
      </c>
      <c r="Q45" s="4">
        <f t="shared" si="49"/>
        <v>1.3875857668654394</v>
      </c>
      <c r="R45" s="4">
        <f t="shared" si="50"/>
        <v>9.1987400638682808E-3</v>
      </c>
      <c r="S45" s="4">
        <f t="shared" si="25"/>
        <v>1.2814870515859365</v>
      </c>
      <c r="T45" s="2">
        <f t="shared" si="26"/>
        <v>427.02959356314437</v>
      </c>
      <c r="U45" s="6">
        <f t="shared" si="51"/>
        <v>0.4526762805801427</v>
      </c>
      <c r="V45" s="4">
        <f t="shared" si="52"/>
        <v>0.39306740018689029</v>
      </c>
      <c r="W45" s="4">
        <f t="shared" si="53"/>
        <v>0.86123788038695726</v>
      </c>
      <c r="X45" s="3">
        <f t="shared" si="54"/>
        <v>58.031511194587743</v>
      </c>
      <c r="Y45" s="8">
        <f t="shared" si="55"/>
        <v>55.78281066457135</v>
      </c>
      <c r="Z45" s="3">
        <f t="shared" si="56"/>
        <v>15.997947552362696</v>
      </c>
      <c r="AA45" s="3">
        <f t="shared" si="57"/>
        <v>8753.7748000502052</v>
      </c>
      <c r="AB45" s="3"/>
      <c r="AC45" s="3"/>
      <c r="AD45" s="3"/>
    </row>
    <row r="46" spans="1:30" hidden="1">
      <c r="A46" s="7">
        <f t="shared" si="38"/>
        <v>490</v>
      </c>
      <c r="B46" s="3">
        <f t="shared" si="39"/>
        <v>-51.018500000000003</v>
      </c>
      <c r="D46" s="1">
        <f t="shared" si="33"/>
        <v>40</v>
      </c>
      <c r="E46" s="2">
        <f t="shared" si="40"/>
        <v>10</v>
      </c>
      <c r="F46" s="2">
        <f t="shared" si="41"/>
        <v>22.030809999999999</v>
      </c>
      <c r="G46" s="2">
        <f t="shared" si="42"/>
        <v>15.578135146032402</v>
      </c>
      <c r="H46" s="2">
        <f t="shared" si="27"/>
        <v>-9.4339622641509422</v>
      </c>
      <c r="I46" s="2">
        <f t="shared" si="22"/>
        <v>135</v>
      </c>
      <c r="J46" s="20">
        <f t="shared" si="43"/>
        <v>41.584537735849061</v>
      </c>
      <c r="K46" s="2">
        <f t="shared" si="44"/>
        <v>135</v>
      </c>
      <c r="L46" s="2">
        <f t="shared" si="45"/>
        <v>141.2595971207063</v>
      </c>
      <c r="M46" s="2">
        <f t="shared" si="46"/>
        <v>3.2463989586114756</v>
      </c>
      <c r="N46" s="2">
        <f t="shared" si="47"/>
        <v>72.879408672739942</v>
      </c>
      <c r="P46" s="4">
        <f t="shared" si="48"/>
        <v>1.1571263440184774</v>
      </c>
      <c r="Q46" s="4">
        <f t="shared" si="49"/>
        <v>1.4003404664832511</v>
      </c>
      <c r="R46" s="4">
        <f t="shared" si="50"/>
        <v>9.9132412595418946E-3</v>
      </c>
      <c r="S46" s="4">
        <f t="shared" si="25"/>
        <v>1.2814870515859365</v>
      </c>
      <c r="T46" s="2">
        <f t="shared" si="26"/>
        <v>427.02959356314437</v>
      </c>
      <c r="U46" s="6">
        <f t="shared" si="51"/>
        <v>0.42391053770296505</v>
      </c>
      <c r="V46" s="4">
        <f t="shared" si="52"/>
        <v>0.36634766799172963</v>
      </c>
      <c r="W46" s="4">
        <f t="shared" si="53"/>
        <v>0.84715279529508047</v>
      </c>
      <c r="X46" s="3">
        <f t="shared" si="54"/>
        <v>56.923951348894406</v>
      </c>
      <c r="Y46" s="8">
        <f t="shared" si="55"/>
        <v>54.401496172569018</v>
      </c>
      <c r="Z46" s="3">
        <f t="shared" si="56"/>
        <v>16.757489410924777</v>
      </c>
      <c r="AA46" s="3">
        <f t="shared" si="57"/>
        <v>8041.0544340635097</v>
      </c>
      <c r="AB46" s="3"/>
      <c r="AC46" s="3"/>
      <c r="AD46" s="3"/>
    </row>
    <row r="47" spans="1:30" hidden="1">
      <c r="A47" s="7">
        <f t="shared" si="38"/>
        <v>490</v>
      </c>
      <c r="B47" s="3">
        <f t="shared" si="39"/>
        <v>-51.018500000000003</v>
      </c>
      <c r="D47" s="1">
        <f t="shared" si="33"/>
        <v>41</v>
      </c>
      <c r="E47" s="2">
        <f t="shared" si="40"/>
        <v>10</v>
      </c>
      <c r="F47" s="2">
        <f t="shared" si="41"/>
        <v>22.030809999999999</v>
      </c>
      <c r="G47" s="2">
        <f t="shared" si="42"/>
        <v>15.578135146032402</v>
      </c>
      <c r="H47" s="2">
        <f t="shared" si="27"/>
        <v>-9.4339622641509422</v>
      </c>
      <c r="I47" s="2">
        <f t="shared" si="22"/>
        <v>125</v>
      </c>
      <c r="J47" s="20">
        <f t="shared" si="43"/>
        <v>41.584537735849061</v>
      </c>
      <c r="K47" s="2">
        <f t="shared" si="44"/>
        <v>125</v>
      </c>
      <c r="L47" s="2">
        <f t="shared" si="45"/>
        <v>131.73562076638291</v>
      </c>
      <c r="M47" s="2">
        <f t="shared" si="46"/>
        <v>3.0059249616772923</v>
      </c>
      <c r="N47" s="2">
        <f t="shared" si="47"/>
        <v>71.598938468637044</v>
      </c>
      <c r="P47" s="4">
        <f t="shared" si="48"/>
        <v>1.1635307221068032</v>
      </c>
      <c r="Q47" s="4">
        <f t="shared" si="49"/>
        <v>1.4153170935931885</v>
      </c>
      <c r="R47" s="4">
        <f t="shared" si="50"/>
        <v>1.0743617294695723E-2</v>
      </c>
      <c r="S47" s="4">
        <f t="shared" si="25"/>
        <v>1.2814870515859365</v>
      </c>
      <c r="T47" s="2">
        <f t="shared" si="26"/>
        <v>427.02959356314437</v>
      </c>
      <c r="U47" s="6">
        <f t="shared" si="51"/>
        <v>0.39532972606450578</v>
      </c>
      <c r="V47" s="4">
        <f t="shared" si="52"/>
        <v>0.33976732934793752</v>
      </c>
      <c r="W47" s="4">
        <f t="shared" si="53"/>
        <v>0.83198997805750574</v>
      </c>
      <c r="X47" s="3">
        <f t="shared" si="54"/>
        <v>55.714975842922421</v>
      </c>
      <c r="Y47" s="8">
        <f t="shared" si="55"/>
        <v>52.866278230971176</v>
      </c>
      <c r="Z47" s="3">
        <f t="shared" si="56"/>
        <v>17.587357936397726</v>
      </c>
      <c r="AA47" s="3">
        <f t="shared" si="57"/>
        <v>7339.646928651413</v>
      </c>
      <c r="AB47" s="3"/>
      <c r="AC47" s="3"/>
      <c r="AD47" s="3"/>
    </row>
    <row r="48" spans="1:30" hidden="1">
      <c r="A48" s="7">
        <f t="shared" si="38"/>
        <v>490</v>
      </c>
      <c r="B48" s="3">
        <f t="shared" si="39"/>
        <v>-51.018500000000003</v>
      </c>
      <c r="D48" s="1">
        <f t="shared" si="33"/>
        <v>42</v>
      </c>
      <c r="E48" s="2">
        <f t="shared" si="40"/>
        <v>10</v>
      </c>
      <c r="F48" s="2">
        <f t="shared" si="41"/>
        <v>22.030809999999999</v>
      </c>
      <c r="G48" s="2">
        <f t="shared" si="42"/>
        <v>15.578135146032402</v>
      </c>
      <c r="H48" s="2">
        <f t="shared" si="27"/>
        <v>-9.4339622641509422</v>
      </c>
      <c r="I48" s="2">
        <f t="shared" si="22"/>
        <v>115</v>
      </c>
      <c r="J48" s="20">
        <f t="shared" si="43"/>
        <v>41.584537735849061</v>
      </c>
      <c r="K48" s="2">
        <f t="shared" si="44"/>
        <v>115</v>
      </c>
      <c r="L48" s="2">
        <f t="shared" si="45"/>
        <v>122.28766813830516</v>
      </c>
      <c r="M48" s="2">
        <f t="shared" si="46"/>
        <v>2.7654509647431089</v>
      </c>
      <c r="N48" s="2">
        <f t="shared" si="47"/>
        <v>70.119772633338215</v>
      </c>
      <c r="P48" s="4">
        <f t="shared" si="48"/>
        <v>1.1711145035427135</v>
      </c>
      <c r="Q48" s="4">
        <f t="shared" si="49"/>
        <v>1.4331334921985432</v>
      </c>
      <c r="R48" s="4">
        <f t="shared" si="50"/>
        <v>1.1719362336500642E-2</v>
      </c>
      <c r="S48" s="4">
        <f t="shared" si="25"/>
        <v>1.2814870515859365</v>
      </c>
      <c r="T48" s="2">
        <f t="shared" si="26"/>
        <v>427.02959356314437</v>
      </c>
      <c r="U48" s="6">
        <f t="shared" si="51"/>
        <v>0.36697705650862256</v>
      </c>
      <c r="V48" s="4">
        <f t="shared" si="52"/>
        <v>0.31335711017025925</v>
      </c>
      <c r="W48" s="4">
        <f t="shared" si="53"/>
        <v>0.81564973241545113</v>
      </c>
      <c r="X48" s="3">
        <f t="shared" si="54"/>
        <v>54.390237809285878</v>
      </c>
      <c r="Y48" s="8">
        <f t="shared" si="55"/>
        <v>51.148880694934192</v>
      </c>
      <c r="Z48" s="3">
        <f t="shared" si="56"/>
        <v>18.495674429608112</v>
      </c>
      <c r="AA48" s="3">
        <f t="shared" si="57"/>
        <v>6651.2553511854494</v>
      </c>
      <c r="AB48" s="3"/>
      <c r="AC48" s="3"/>
      <c r="AD48" s="3"/>
    </row>
    <row r="49" spans="1:31" hidden="1">
      <c r="A49" s="7">
        <f t="shared" si="38"/>
        <v>490</v>
      </c>
      <c r="B49" s="3">
        <f t="shared" si="39"/>
        <v>-51.018500000000003</v>
      </c>
      <c r="D49" s="1">
        <f t="shared" si="33"/>
        <v>43</v>
      </c>
      <c r="E49" s="2">
        <f t="shared" si="40"/>
        <v>10</v>
      </c>
      <c r="F49" s="2">
        <f t="shared" si="41"/>
        <v>22.030809999999999</v>
      </c>
      <c r="G49" s="2">
        <f t="shared" si="42"/>
        <v>15.578135146032402</v>
      </c>
      <c r="H49" s="2">
        <f t="shared" si="27"/>
        <v>-9.4339622641509422</v>
      </c>
      <c r="I49" s="2">
        <f t="shared" si="22"/>
        <v>105</v>
      </c>
      <c r="J49" s="20">
        <f t="shared" si="43"/>
        <v>41.584537735849061</v>
      </c>
      <c r="K49" s="2">
        <f t="shared" si="44"/>
        <v>105</v>
      </c>
      <c r="L49" s="2">
        <f t="shared" si="45"/>
        <v>112.93482093094342</v>
      </c>
      <c r="M49" s="2">
        <f t="shared" si="46"/>
        <v>2.5249769678089256</v>
      </c>
      <c r="N49" s="2">
        <f t="shared" si="47"/>
        <v>68.394293835880717</v>
      </c>
      <c r="P49" s="4">
        <f t="shared" si="48"/>
        <v>1.1802248782550644</v>
      </c>
      <c r="Q49" s="4">
        <f t="shared" si="49"/>
        <v>1.4546524822447797</v>
      </c>
      <c r="R49" s="4">
        <f t="shared" si="50"/>
        <v>1.2880460342114149E-2</v>
      </c>
      <c r="S49" s="4">
        <f t="shared" si="25"/>
        <v>1.2814870515859365</v>
      </c>
      <c r="T49" s="2">
        <f t="shared" si="26"/>
        <v>427.02959356314437</v>
      </c>
      <c r="U49" s="6">
        <f t="shared" si="51"/>
        <v>0.33890979191534681</v>
      </c>
      <c r="V49" s="4">
        <f t="shared" si="52"/>
        <v>0.28715696318520012</v>
      </c>
      <c r="W49" s="4">
        <f t="shared" si="53"/>
        <v>0.79801808446110134</v>
      </c>
      <c r="X49" s="3">
        <f t="shared" si="54"/>
        <v>52.931785831207598</v>
      </c>
      <c r="Y49" s="8">
        <f t="shared" si="55"/>
        <v>49.212788991583608</v>
      </c>
      <c r="Z49" s="3">
        <f t="shared" si="56"/>
        <v>19.490391246732237</v>
      </c>
      <c r="AA49" s="3">
        <f t="shared" si="57"/>
        <v>5977.8417544024778</v>
      </c>
      <c r="AB49" s="3"/>
      <c r="AC49" s="3"/>
      <c r="AD49" s="3"/>
    </row>
    <row r="50" spans="1:31">
      <c r="A50" s="7">
        <f t="shared" si="38"/>
        <v>490</v>
      </c>
      <c r="B50" s="3">
        <f t="shared" si="39"/>
        <v>-51.018500000000003</v>
      </c>
      <c r="D50" s="1">
        <f t="shared" si="33"/>
        <v>44</v>
      </c>
      <c r="E50" s="2">
        <f t="shared" si="40"/>
        <v>10</v>
      </c>
      <c r="F50" s="2">
        <f t="shared" si="41"/>
        <v>22.030809999999999</v>
      </c>
      <c r="G50" s="2">
        <f t="shared" si="42"/>
        <v>15.578135146032402</v>
      </c>
      <c r="H50" s="2">
        <f t="shared" si="27"/>
        <v>-9.4339622641509422</v>
      </c>
      <c r="I50" s="2">
        <f t="shared" si="22"/>
        <v>95</v>
      </c>
      <c r="J50" s="20">
        <f t="shared" si="43"/>
        <v>41.584537735849061</v>
      </c>
      <c r="K50" s="2">
        <f t="shared" si="44"/>
        <v>95</v>
      </c>
      <c r="L50" s="2">
        <f t="shared" si="45"/>
        <v>103.70281470965122</v>
      </c>
      <c r="M50" s="2">
        <f t="shared" si="46"/>
        <v>2.2845029708747422</v>
      </c>
      <c r="N50" s="2">
        <f t="shared" si="47"/>
        <v>66.359467280837663</v>
      </c>
      <c r="P50" s="4">
        <f t="shared" si="48"/>
        <v>1.1913549588239762</v>
      </c>
      <c r="Q50" s="4">
        <f t="shared" si="49"/>
        <v>1.481112422613478</v>
      </c>
      <c r="R50" s="4">
        <f t="shared" si="50"/>
        <v>1.4282277937781342E-2</v>
      </c>
      <c r="S50" s="4">
        <f t="shared" si="25"/>
        <v>1.2814870515859365</v>
      </c>
      <c r="T50" s="2">
        <f t="shared" si="26"/>
        <v>427.02959356314437</v>
      </c>
      <c r="U50" s="6">
        <f t="shared" si="51"/>
        <v>0.31120516298311951</v>
      </c>
      <c r="V50" s="4">
        <f t="shared" si="52"/>
        <v>0.26121951369583407</v>
      </c>
      <c r="W50" s="4">
        <f t="shared" si="53"/>
        <v>0.77896567636366509</v>
      </c>
      <c r="X50" s="3">
        <f t="shared" si="54"/>
        <v>51.316910765063298</v>
      </c>
      <c r="Y50" s="8">
        <f t="shared" si="55"/>
        <v>47.010358748028324</v>
      </c>
      <c r="Z50" s="3">
        <f t="shared" si="56"/>
        <v>20.577937235086175</v>
      </c>
      <c r="AA50" s="3">
        <f t="shared" si="57"/>
        <v>5321.7080885410651</v>
      </c>
      <c r="AB50" s="3"/>
      <c r="AC50" s="3"/>
      <c r="AD50" s="3"/>
    </row>
    <row r="51" spans="1:31">
      <c r="A51" s="7">
        <f t="shared" si="38"/>
        <v>490</v>
      </c>
      <c r="B51" s="3">
        <f t="shared" si="39"/>
        <v>-51.018500000000003</v>
      </c>
      <c r="D51" s="1">
        <f t="shared" si="33"/>
        <v>45</v>
      </c>
      <c r="E51" s="2">
        <f t="shared" si="40"/>
        <v>10</v>
      </c>
      <c r="F51" s="2">
        <f t="shared" si="41"/>
        <v>22.030809999999999</v>
      </c>
      <c r="G51" s="2">
        <f>F51/SQRT(2)</f>
        <v>15.578135146032402</v>
      </c>
      <c r="H51" s="2">
        <f t="shared" si="27"/>
        <v>-9.4339622641509422</v>
      </c>
      <c r="I51" s="2">
        <f t="shared" si="22"/>
        <v>85</v>
      </c>
      <c r="J51" s="20">
        <f>H51-B51</f>
        <v>41.584537735849061</v>
      </c>
      <c r="K51" s="2">
        <f>I51</f>
        <v>85</v>
      </c>
      <c r="L51" s="2">
        <f>SQRT(J51^2+K51^2)</f>
        <v>94.627024568588524</v>
      </c>
      <c r="M51" s="2">
        <f>IF(J51=0,"infinity",ABS(K51/J51))</f>
        <v>2.0440289739405588</v>
      </c>
      <c r="N51" s="2">
        <f>IF(J51=0,90,ATAN(M51)*180/PI())</f>
        <v>63.930739445740883</v>
      </c>
      <c r="P51" s="4">
        <f>0.209 * (N51+2)^-0.32 * F51</f>
        <v>1.2052263224732822</v>
      </c>
      <c r="Q51" s="4">
        <f>MIN(1.087*(N51+6)^-0.65 * F51, 0.17*F51)</f>
        <v>1.5143481480952812</v>
      </c>
      <c r="R51" s="4">
        <f>Q51/L51</f>
        <v>1.6003336837434171E-2</v>
      </c>
      <c r="S51" s="4">
        <f t="shared" si="25"/>
        <v>1.2814870515859365</v>
      </c>
      <c r="T51" s="2">
        <f t="shared" si="26"/>
        <v>427.02959356314437</v>
      </c>
      <c r="U51" s="6">
        <f>S51*L51/T51</f>
        <v>0.28396932798714669</v>
      </c>
      <c r="V51" s="4">
        <f>U51/P51</f>
        <v>0.2356149402747896</v>
      </c>
      <c r="W51" s="4">
        <f>POWER(V51*(1.9-0.9*V51),0.3)</f>
        <v>0.75834784158750312</v>
      </c>
      <c r="X51" s="3">
        <f>0.6*A51*G51*E51*(1+0.5*SIN(N51*PI()/180)^1.5)*W51/1000</f>
        <v>49.516624517555314</v>
      </c>
      <c r="Y51" s="8">
        <f>X51*SIN(N51*PI()/180)</f>
        <v>44.478975252375768</v>
      </c>
      <c r="Z51" s="3">
        <f>X51*COS(N51*PI()/180)</f>
        <v>21.760442645109599</v>
      </c>
      <c r="AA51" s="3">
        <f>L51*X51</f>
        <v>4685.6108447762799</v>
      </c>
      <c r="AB51" s="3"/>
      <c r="AC51" s="3"/>
      <c r="AD51" s="3"/>
    </row>
    <row r="52" spans="1:31">
      <c r="A52" s="7">
        <f t="shared" si="38"/>
        <v>490</v>
      </c>
      <c r="B52" s="3">
        <f t="shared" si="39"/>
        <v>-51.018500000000003</v>
      </c>
      <c r="D52" s="1">
        <f t="shared" si="33"/>
        <v>46</v>
      </c>
      <c r="E52" s="2">
        <f t="shared" si="40"/>
        <v>10</v>
      </c>
      <c r="F52" s="2">
        <f t="shared" si="41"/>
        <v>22.030809999999999</v>
      </c>
      <c r="G52" s="2">
        <f>F52/SQRT(2)</f>
        <v>15.578135146032402</v>
      </c>
      <c r="H52" s="2">
        <f t="shared" si="27"/>
        <v>-9.4339622641509422</v>
      </c>
      <c r="I52" s="2">
        <f t="shared" si="22"/>
        <v>75</v>
      </c>
      <c r="J52" s="20">
        <f>H52-B52</f>
        <v>41.584537735849061</v>
      </c>
      <c r="K52" s="2">
        <f>I52</f>
        <v>75</v>
      </c>
      <c r="L52" s="2">
        <f>SQRT(J52^2+K52^2)</f>
        <v>85.757062558743542</v>
      </c>
      <c r="M52" s="2">
        <f>IF(J52=0,"infinity",ABS(K52/J52))</f>
        <v>1.8035549770063752</v>
      </c>
      <c r="N52" s="2">
        <f>IF(J52=0,90,ATAN(M52)*180/PI())</f>
        <v>60.99336245638117</v>
      </c>
      <c r="P52" s="4">
        <f>0.209 * (N52+2)^-0.32 * F52</f>
        <v>1.2229323067415576</v>
      </c>
      <c r="Q52" s="4">
        <f>MIN(1.087*(N52+6)^-0.65 * F52, 0.17*F52)</f>
        <v>1.5571819276036698</v>
      </c>
      <c r="R52" s="4">
        <f>Q52/L52</f>
        <v>1.8158060469212096E-2</v>
      </c>
      <c r="S52" s="4">
        <f t="shared" si="25"/>
        <v>1.2814870515859365</v>
      </c>
      <c r="T52" s="2">
        <f t="shared" si="26"/>
        <v>427.02959356314437</v>
      </c>
      <c r="U52" s="6">
        <f>S52*L52/T52</f>
        <v>0.25735116935127517</v>
      </c>
      <c r="V52" s="4">
        <f>U52/P52</f>
        <v>0.21043778787476355</v>
      </c>
      <c r="W52" s="4">
        <f>POWER(V52*(1.9-0.9*V52),0.3)</f>
        <v>0.7360072883096378</v>
      </c>
      <c r="X52" s="3">
        <f>0.6*A52*G52*E52*(1+0.5*SIN(N52*PI()/180)^1.5)*W52/1000</f>
        <v>47.493773289179835</v>
      </c>
      <c r="Y52" s="8">
        <f>X52*SIN(N52*PI()/180)</f>
        <v>41.536322378678683</v>
      </c>
      <c r="Z52" s="3">
        <f>X52*COS(N52*PI()/180)</f>
        <v>23.030250204860742</v>
      </c>
      <c r="AA52" s="3">
        <f>L52*X52</f>
        <v>4072.9264871109781</v>
      </c>
      <c r="AB52" s="3"/>
      <c r="AC52" s="3"/>
      <c r="AD52" s="3"/>
    </row>
    <row r="53" spans="1:31">
      <c r="A53" s="7">
        <f t="shared" si="38"/>
        <v>490</v>
      </c>
      <c r="B53" s="3">
        <f t="shared" si="39"/>
        <v>-51.018500000000003</v>
      </c>
      <c r="D53" s="1">
        <f t="shared" si="33"/>
        <v>47</v>
      </c>
      <c r="E53" s="2">
        <f t="shared" si="40"/>
        <v>10</v>
      </c>
      <c r="F53" s="2">
        <f t="shared" si="41"/>
        <v>22.030809999999999</v>
      </c>
      <c r="G53" s="2">
        <f>F53/SQRT(2)</f>
        <v>15.578135146032402</v>
      </c>
      <c r="H53" s="2">
        <f t="shared" si="27"/>
        <v>-9.4339622641509422</v>
      </c>
      <c r="I53" s="2">
        <f t="shared" si="22"/>
        <v>65</v>
      </c>
      <c r="J53" s="20">
        <f>H53-B53</f>
        <v>41.584537735849061</v>
      </c>
      <c r="K53" s="2">
        <f>I53</f>
        <v>65</v>
      </c>
      <c r="L53" s="2">
        <f>SQRT(J53^2+K53^2)</f>
        <v>77.163940922585425</v>
      </c>
      <c r="M53" s="2">
        <f>IF(J53=0,"infinity",ABS(K53/J53))</f>
        <v>1.5630809800721919</v>
      </c>
      <c r="N53" s="2">
        <f>IF(J53=0,90,ATAN(M53)*180/PI())</f>
        <v>57.390427082517277</v>
      </c>
      <c r="P53" s="4">
        <f>0.209 * (N53+2)^-0.32 * F53</f>
        <v>1.2461992560528905</v>
      </c>
      <c r="Q53" s="4">
        <f>MIN(1.087*(N53+6)^-0.65 * F53, 0.17*F53)</f>
        <v>1.6141527061471996</v>
      </c>
      <c r="R53" s="4">
        <f>Q53/L53</f>
        <v>2.0918484551827068E-2</v>
      </c>
      <c r="S53" s="4">
        <f t="shared" si="25"/>
        <v>1.2814870515859365</v>
      </c>
      <c r="T53" s="2">
        <f t="shared" si="26"/>
        <v>427.02959356314437</v>
      </c>
      <c r="U53" s="6">
        <f>S53*L53/T53</f>
        <v>0.23156379003277072</v>
      </c>
      <c r="V53" s="4">
        <f>U53/P53</f>
        <v>0.18581602332696531</v>
      </c>
      <c r="W53" s="4">
        <f>POWER(V53*(1.9-0.9*V53),0.3)</f>
        <v>0.71178182136662749</v>
      </c>
      <c r="X53" s="3">
        <f>0.6*A53*G53*E53*(1+0.5*SIN(N53*PI()/180)^1.5)*W53/1000</f>
        <v>45.201076991975768</v>
      </c>
      <c r="Y53" s="8">
        <f>X53*SIN(N53*PI()/180)</f>
        <v>38.075686251250922</v>
      </c>
      <c r="Z53" s="3">
        <f>X53*COS(N53*PI()/180)</f>
        <v>24.359381718976827</v>
      </c>
      <c r="AA53" s="3">
        <f>L53*X53</f>
        <v>3487.8932346460533</v>
      </c>
      <c r="AB53" s="3"/>
      <c r="AC53" s="3"/>
      <c r="AD53" s="3"/>
    </row>
    <row r="54" spans="1:31">
      <c r="A54" s="7">
        <f t="shared" si="38"/>
        <v>490</v>
      </c>
      <c r="B54" s="3">
        <f t="shared" si="39"/>
        <v>-51.018500000000003</v>
      </c>
      <c r="D54" s="1">
        <f t="shared" si="33"/>
        <v>48</v>
      </c>
      <c r="E54" s="2">
        <f t="shared" si="40"/>
        <v>10</v>
      </c>
      <c r="F54" s="2">
        <f t="shared" si="41"/>
        <v>22.030809999999999</v>
      </c>
      <c r="G54" s="2">
        <f t="shared" ref="G54:G59" si="58">F54/SQRT(2)</f>
        <v>15.578135146032402</v>
      </c>
      <c r="H54" s="2">
        <f t="shared" si="27"/>
        <v>-9.4339622641509422</v>
      </c>
      <c r="I54" s="2">
        <f t="shared" ref="I54:I59" si="59">E54*(MAX($D$17:$D$59)-D54+0.5)</f>
        <v>55</v>
      </c>
      <c r="J54" s="20">
        <f t="shared" ref="J54:J59" si="60">H54-B54</f>
        <v>41.584537735849061</v>
      </c>
      <c r="K54" s="2">
        <f t="shared" ref="K54:K59" si="61">I54</f>
        <v>55</v>
      </c>
      <c r="L54" s="2">
        <f t="shared" ref="L54:L59" si="62">SQRT(J54^2+K54^2)</f>
        <v>68.951242038880295</v>
      </c>
      <c r="M54" s="2">
        <f t="shared" ref="M54:M59" si="63">IF(J54=0,"infinity",ABS(K54/J54))</f>
        <v>1.3226069831380085</v>
      </c>
      <c r="N54" s="2">
        <f t="shared" ref="N54:N59" si="64">IF(J54=0,90,ATAN(M54)*180/PI())</f>
        <v>52.907711599018583</v>
      </c>
      <c r="P54" s="4">
        <f t="shared" ref="P54:P59" si="65">0.209 * (N54+2)^-0.32 * F54</f>
        <v>1.2778917932920948</v>
      </c>
      <c r="Q54" s="4">
        <f t="shared" ref="Q54:Q59" si="66">MIN(1.087*(N54+6)^-0.65 * F54, 0.17*F54)</f>
        <v>1.6929655093318667</v>
      </c>
      <c r="R54" s="4">
        <f t="shared" ref="R54:R59" si="67">Q54/L54</f>
        <v>2.4553082138494848E-2</v>
      </c>
      <c r="S54" s="4">
        <f t="shared" ref="S54:S59" si="68">INDEX($Q$3:$Q$59, MATCH(MIN($R$3:$R$59),$R$3:$R$59,0))</f>
        <v>1.2814870515859365</v>
      </c>
      <c r="T54" s="2">
        <f t="shared" ref="T54:T59" si="69">INDEX($L$3:$L$59, MATCH(MIN($R$3:$R$59),$R$3:$R$59,0))</f>
        <v>427.02959356314437</v>
      </c>
      <c r="U54" s="6">
        <f t="shared" ref="U54:U59" si="70">S54*L54/T54</f>
        <v>0.20691803377446083</v>
      </c>
      <c r="V54" s="4">
        <f t="shared" ref="V54:V59" si="71">U54/P54</f>
        <v>0.1619214043478597</v>
      </c>
      <c r="W54" s="4">
        <f t="shared" ref="W54:W59" si="72">POWER(V54*(1.9-0.9*V54),0.3)</f>
        <v>0.68552021206151659</v>
      </c>
      <c r="X54" s="3">
        <f t="shared" ref="X54:X59" si="73">0.6*A54*G54*E54*(1+0.5*SIN(N54*PI()/180)^1.5)*W54/1000</f>
        <v>42.580292050775306</v>
      </c>
      <c r="Y54" s="8">
        <f t="shared" ref="Y54:Y59" si="74">X54*SIN(N54*PI()/180)</f>
        <v>33.964813302015351</v>
      </c>
      <c r="Z54" s="3">
        <f t="shared" ref="Z54:Z59" si="75">X54*COS(N54*PI()/180)</f>
        <v>25.680201099067737</v>
      </c>
      <c r="AA54" s="3">
        <f t="shared" ref="AA54:AA59" si="76">L54*X54</f>
        <v>2935.9640232792185</v>
      </c>
      <c r="AB54" s="3"/>
      <c r="AC54" s="3"/>
      <c r="AD54" s="3"/>
    </row>
    <row r="55" spans="1:31">
      <c r="A55" s="7">
        <f t="shared" si="38"/>
        <v>490</v>
      </c>
      <c r="B55" s="3">
        <f t="shared" si="39"/>
        <v>-51.018500000000003</v>
      </c>
      <c r="D55" s="1">
        <f t="shared" si="33"/>
        <v>49</v>
      </c>
      <c r="E55" s="2">
        <f t="shared" si="40"/>
        <v>10</v>
      </c>
      <c r="F55" s="2">
        <f t="shared" si="41"/>
        <v>22.030809999999999</v>
      </c>
      <c r="G55" s="2">
        <f t="shared" si="58"/>
        <v>15.578135146032402</v>
      </c>
      <c r="H55" s="2">
        <f t="shared" si="27"/>
        <v>-9.4339622641509422</v>
      </c>
      <c r="I55" s="2">
        <f t="shared" si="59"/>
        <v>45</v>
      </c>
      <c r="J55" s="20">
        <f t="shared" si="60"/>
        <v>41.584537735849061</v>
      </c>
      <c r="K55" s="2">
        <f t="shared" si="61"/>
        <v>45</v>
      </c>
      <c r="L55" s="2">
        <f t="shared" si="62"/>
        <v>61.272128889930485</v>
      </c>
      <c r="M55" s="2">
        <f t="shared" si="63"/>
        <v>1.0821329862038251</v>
      </c>
      <c r="N55" s="2">
        <f t="shared" si="64"/>
        <v>47.258950291405903</v>
      </c>
      <c r="P55" s="4">
        <f t="shared" si="65"/>
        <v>1.3230659789935153</v>
      </c>
      <c r="Q55" s="4">
        <f t="shared" si="66"/>
        <v>1.8076103423576018</v>
      </c>
      <c r="R55" s="4">
        <f t="shared" si="67"/>
        <v>2.9501347106851806E-2</v>
      </c>
      <c r="S55" s="4">
        <f t="shared" si="68"/>
        <v>1.2814870515859365</v>
      </c>
      <c r="T55" s="2">
        <f t="shared" si="69"/>
        <v>427.02959356314437</v>
      </c>
      <c r="U55" s="6">
        <f t="shared" si="70"/>
        <v>0.18387353237133416</v>
      </c>
      <c r="V55" s="4">
        <f t="shared" si="71"/>
        <v>0.13897533100443768</v>
      </c>
      <c r="W55" s="4">
        <f t="shared" si="72"/>
        <v>0.65710551428134978</v>
      </c>
      <c r="X55" s="3">
        <f t="shared" si="73"/>
        <v>39.566168139791813</v>
      </c>
      <c r="Y55" s="8">
        <f t="shared" si="74"/>
        <v>29.058522994836508</v>
      </c>
      <c r="Z55" s="3">
        <f t="shared" si="75"/>
        <v>26.853005467262591</v>
      </c>
      <c r="AA55" s="3">
        <f t="shared" si="76"/>
        <v>2424.3033539419853</v>
      </c>
      <c r="AB55" s="3"/>
      <c r="AC55" s="3"/>
      <c r="AD55" s="3"/>
    </row>
    <row r="56" spans="1:31">
      <c r="A56" s="7">
        <f t="shared" si="38"/>
        <v>490</v>
      </c>
      <c r="B56" s="3">
        <f t="shared" si="39"/>
        <v>-51.018500000000003</v>
      </c>
      <c r="D56" s="1">
        <f t="shared" si="33"/>
        <v>50</v>
      </c>
      <c r="E56" s="2">
        <f t="shared" si="40"/>
        <v>10</v>
      </c>
      <c r="F56" s="2">
        <f t="shared" si="41"/>
        <v>22.030809999999999</v>
      </c>
      <c r="G56" s="2">
        <f t="shared" si="58"/>
        <v>15.578135146032402</v>
      </c>
      <c r="H56" s="2">
        <f t="shared" si="27"/>
        <v>-9.4339622641509422</v>
      </c>
      <c r="I56" s="2">
        <f t="shared" si="59"/>
        <v>35</v>
      </c>
      <c r="J56" s="20">
        <f t="shared" si="60"/>
        <v>41.584537735849061</v>
      </c>
      <c r="K56" s="2">
        <f t="shared" si="61"/>
        <v>35</v>
      </c>
      <c r="L56" s="2">
        <f t="shared" si="62"/>
        <v>54.353231538743437</v>
      </c>
      <c r="M56" s="2">
        <f t="shared" si="63"/>
        <v>0.84165898926964178</v>
      </c>
      <c r="N56" s="2">
        <f t="shared" si="64"/>
        <v>40.085943754953909</v>
      </c>
      <c r="P56" s="4">
        <f t="shared" si="65"/>
        <v>1.3914028499994715</v>
      </c>
      <c r="Q56" s="4">
        <f t="shared" si="66"/>
        <v>1.9858228039241828</v>
      </c>
      <c r="R56" s="4">
        <f t="shared" si="67"/>
        <v>3.6535505759370937E-2</v>
      </c>
      <c r="S56" s="4">
        <f t="shared" si="68"/>
        <v>1.2814870515859365</v>
      </c>
      <c r="T56" s="2">
        <f t="shared" si="69"/>
        <v>427.02959356314437</v>
      </c>
      <c r="U56" s="6">
        <f t="shared" si="70"/>
        <v>0.16311038737986799</v>
      </c>
      <c r="V56" s="4">
        <f t="shared" si="71"/>
        <v>0.11722729142025974</v>
      </c>
      <c r="W56" s="4">
        <f t="shared" si="72"/>
        <v>0.62645708704458691</v>
      </c>
      <c r="X56" s="3">
        <f t="shared" si="73"/>
        <v>36.104457485048599</v>
      </c>
      <c r="Y56" s="8">
        <f t="shared" si="74"/>
        <v>23.248958271707476</v>
      </c>
      <c r="Z56" s="3">
        <f t="shared" si="75"/>
        <v>27.622776644828566</v>
      </c>
      <c r="AA56" s="3">
        <f t="shared" si="76"/>
        <v>1962.393937265565</v>
      </c>
      <c r="AB56" s="3"/>
      <c r="AC56" s="3"/>
      <c r="AD56" s="3"/>
    </row>
    <row r="57" spans="1:31">
      <c r="A57" s="7">
        <f t="shared" si="38"/>
        <v>490</v>
      </c>
      <c r="B57" s="3">
        <f t="shared" si="39"/>
        <v>-51.018500000000003</v>
      </c>
      <c r="D57" s="1">
        <f t="shared" si="33"/>
        <v>51</v>
      </c>
      <c r="E57" s="2">
        <f t="shared" si="40"/>
        <v>10</v>
      </c>
      <c r="F57" s="2">
        <f t="shared" si="41"/>
        <v>22.030809999999999</v>
      </c>
      <c r="G57" s="2">
        <f t="shared" si="58"/>
        <v>15.578135146032402</v>
      </c>
      <c r="H57" s="2">
        <f t="shared" si="27"/>
        <v>-9.4339622641509422</v>
      </c>
      <c r="I57" s="2">
        <f t="shared" si="59"/>
        <v>25</v>
      </c>
      <c r="J57" s="20">
        <f t="shared" si="60"/>
        <v>41.584537735849061</v>
      </c>
      <c r="K57" s="2">
        <f t="shared" si="61"/>
        <v>25</v>
      </c>
      <c r="L57" s="2">
        <f t="shared" si="62"/>
        <v>48.520859212345513</v>
      </c>
      <c r="M57" s="2">
        <f t="shared" si="63"/>
        <v>0.60118499233545841</v>
      </c>
      <c r="N57" s="2">
        <f t="shared" si="64"/>
        <v>31.013653271824047</v>
      </c>
      <c r="P57" s="4">
        <f t="shared" si="65"/>
        <v>1.5038163547427508</v>
      </c>
      <c r="Q57" s="4">
        <f t="shared" si="66"/>
        <v>2.289943357559677</v>
      </c>
      <c r="R57" s="4">
        <f t="shared" si="67"/>
        <v>4.7195028998518442E-2</v>
      </c>
      <c r="S57" s="4">
        <f t="shared" si="68"/>
        <v>1.2814870515859365</v>
      </c>
      <c r="T57" s="2">
        <f t="shared" si="69"/>
        <v>427.02959356314437</v>
      </c>
      <c r="U57" s="6">
        <f t="shared" si="70"/>
        <v>0.14560783081477621</v>
      </c>
      <c r="V57" s="4">
        <f t="shared" si="71"/>
        <v>9.6825540136970048E-2</v>
      </c>
      <c r="W57" s="4">
        <f t="shared" si="72"/>
        <v>0.59334330158798609</v>
      </c>
      <c r="X57" s="3">
        <f t="shared" si="73"/>
        <v>32.200187699941424</v>
      </c>
      <c r="Y57" s="8">
        <f t="shared" si="74"/>
        <v>16.590899369187436</v>
      </c>
      <c r="Z57" s="3">
        <f t="shared" si="75"/>
        <v>27.596995235585975</v>
      </c>
      <c r="AA57" s="3">
        <f t="shared" si="76"/>
        <v>1562.3807739999575</v>
      </c>
      <c r="AB57" s="3"/>
      <c r="AC57" s="3"/>
      <c r="AD57" s="3"/>
    </row>
    <row r="58" spans="1:31">
      <c r="A58" s="7">
        <f t="shared" si="38"/>
        <v>490</v>
      </c>
      <c r="B58" s="3">
        <f t="shared" si="39"/>
        <v>-51.018500000000003</v>
      </c>
      <c r="D58" s="1">
        <f t="shared" si="33"/>
        <v>52</v>
      </c>
      <c r="E58" s="2">
        <f t="shared" si="40"/>
        <v>10</v>
      </c>
      <c r="F58" s="2">
        <f t="shared" si="41"/>
        <v>22.030809999999999</v>
      </c>
      <c r="G58" s="2">
        <f t="shared" si="58"/>
        <v>15.578135146032402</v>
      </c>
      <c r="H58" s="2">
        <f t="shared" si="27"/>
        <v>-9.4339622641509422</v>
      </c>
      <c r="I58" s="2">
        <f t="shared" si="59"/>
        <v>15</v>
      </c>
      <c r="J58" s="20">
        <f t="shared" si="60"/>
        <v>41.584537735849061</v>
      </c>
      <c r="K58" s="2">
        <f t="shared" si="61"/>
        <v>15</v>
      </c>
      <c r="L58" s="2">
        <f t="shared" si="62"/>
        <v>44.207168860991928</v>
      </c>
      <c r="M58" s="2">
        <f t="shared" si="63"/>
        <v>0.36071099540127505</v>
      </c>
      <c r="N58" s="2">
        <f t="shared" si="64"/>
        <v>19.834931419834998</v>
      </c>
      <c r="P58" s="4">
        <f t="shared" si="65"/>
        <v>1.7165172208695714</v>
      </c>
      <c r="Q58" s="4">
        <f t="shared" si="66"/>
        <v>2.8928456065989328</v>
      </c>
      <c r="R58" s="4">
        <f t="shared" si="67"/>
        <v>6.543838207996075E-2</v>
      </c>
      <c r="S58" s="4">
        <f t="shared" si="68"/>
        <v>1.2814870515859365</v>
      </c>
      <c r="T58" s="2">
        <f t="shared" si="69"/>
        <v>427.02959356314437</v>
      </c>
      <c r="U58" s="6">
        <f t="shared" si="70"/>
        <v>0.13266273657977115</v>
      </c>
      <c r="V58" s="4">
        <f t="shared" si="71"/>
        <v>7.7285992221252209E-2</v>
      </c>
      <c r="W58" s="4">
        <f t="shared" si="72"/>
        <v>0.55615656864578822</v>
      </c>
      <c r="X58" s="3">
        <f t="shared" si="73"/>
        <v>27.989071507308676</v>
      </c>
      <c r="Y58" s="8">
        <f t="shared" si="74"/>
        <v>9.4970133448217773</v>
      </c>
      <c r="Z58" s="3">
        <f t="shared" si="75"/>
        <v>26.328593987706892</v>
      </c>
      <c r="AA58" s="3">
        <f t="shared" si="76"/>
        <v>1237.3176103859726</v>
      </c>
      <c r="AB58" s="3"/>
      <c r="AC58" s="3"/>
      <c r="AD58" s="3"/>
    </row>
    <row r="59" spans="1:31">
      <c r="A59" s="7">
        <f t="shared" si="38"/>
        <v>490</v>
      </c>
      <c r="B59" s="3">
        <f t="shared" si="39"/>
        <v>-51.018500000000003</v>
      </c>
      <c r="D59" s="1">
        <f t="shared" si="33"/>
        <v>53</v>
      </c>
      <c r="E59" s="2">
        <f t="shared" si="40"/>
        <v>10</v>
      </c>
      <c r="F59" s="2">
        <f t="shared" si="41"/>
        <v>22.030809999999999</v>
      </c>
      <c r="G59" s="2">
        <f t="shared" si="58"/>
        <v>15.578135146032402</v>
      </c>
      <c r="H59" s="2">
        <f t="shared" si="27"/>
        <v>-9.4339622641509422</v>
      </c>
      <c r="I59" s="2">
        <f t="shared" si="59"/>
        <v>5</v>
      </c>
      <c r="J59" s="20">
        <f t="shared" si="60"/>
        <v>41.584537735849061</v>
      </c>
      <c r="K59" s="2">
        <f t="shared" si="61"/>
        <v>5</v>
      </c>
      <c r="L59" s="2">
        <f t="shared" si="62"/>
        <v>41.884051603256516</v>
      </c>
      <c r="M59" s="2">
        <f t="shared" si="63"/>
        <v>0.12023699846709168</v>
      </c>
      <c r="N59" s="2">
        <f t="shared" si="64"/>
        <v>6.8561592870163537</v>
      </c>
      <c r="P59" s="4">
        <f t="shared" si="65"/>
        <v>2.2911747631981005</v>
      </c>
      <c r="Q59" s="4">
        <f t="shared" si="66"/>
        <v>3.7452377000000001</v>
      </c>
      <c r="R59" s="4">
        <f t="shared" si="67"/>
        <v>8.9419183594664595E-2</v>
      </c>
      <c r="S59" s="4">
        <f t="shared" si="68"/>
        <v>1.2814870515859365</v>
      </c>
      <c r="T59" s="2">
        <f t="shared" si="69"/>
        <v>427.02959356314437</v>
      </c>
      <c r="U59" s="6">
        <f t="shared" si="70"/>
        <v>0.1256912181417556</v>
      </c>
      <c r="V59" s="4">
        <f t="shared" si="71"/>
        <v>5.4858852393394678E-2</v>
      </c>
      <c r="W59" s="4">
        <f t="shared" si="72"/>
        <v>0.50346546539970283</v>
      </c>
      <c r="X59" s="3">
        <f t="shared" si="73"/>
        <v>23.534113166622976</v>
      </c>
      <c r="Y59" s="8">
        <f t="shared" si="74"/>
        <v>2.8094360819660036</v>
      </c>
      <c r="Z59" s="3">
        <f t="shared" si="75"/>
        <v>23.365820153394242</v>
      </c>
      <c r="AA59" s="3">
        <f t="shared" si="76"/>
        <v>985.70401030771541</v>
      </c>
      <c r="AB59" s="3"/>
      <c r="AC59" s="3"/>
      <c r="AD59" s="3"/>
    </row>
    <row r="60" spans="1:31"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X60" s="14" t="s">
        <v>26</v>
      </c>
      <c r="Y60" s="9">
        <f>ABS(SUM(Y3:Y59))</f>
        <v>2819.3980819738517</v>
      </c>
      <c r="Z60" s="19">
        <f>SUM(Z3:Z59)</f>
        <v>711.99965384691677</v>
      </c>
      <c r="AA60" s="10">
        <f>SUM(AA3:AA59)</f>
        <v>814807.64165491855</v>
      </c>
      <c r="AB60" s="3"/>
      <c r="AC60" s="3"/>
      <c r="AD60" s="3"/>
      <c r="AE60" s="15"/>
    </row>
    <row r="61" spans="1:31" ht="23.25" customHeight="1"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R61" s="5"/>
      <c r="X61" s="14" t="s">
        <v>25</v>
      </c>
      <c r="Y61" s="3">
        <f>0.75*Y60</f>
        <v>2114.5485614803888</v>
      </c>
      <c r="Z61" s="17">
        <f>0.75*Z60</f>
        <v>533.99974038518758</v>
      </c>
      <c r="AA61" s="18">
        <f>AA60/AB21</f>
        <v>711.99952008378841</v>
      </c>
      <c r="AB61" s="16" t="str">
        <f>IF(ABS(Z60-AA61)&lt;0.1,"balanced ro = "&amp;B3, "NG")</f>
        <v>balanced ro = -51.0185</v>
      </c>
      <c r="AC61" s="3"/>
    </row>
    <row r="62" spans="1:31"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Z62" s="21"/>
    </row>
    <row r="63" spans="1:31"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</row>
  </sheetData>
  <phoneticPr fontId="1" type="noConversion"/>
  <conditionalFormatting sqref="R3:R14 R17:R31">
    <cfRule type="cellIs" dxfId="54" priority="72" operator="equal">
      <formula>#REF!</formula>
    </cfRule>
  </conditionalFormatting>
  <conditionalFormatting sqref="R3:R14 R17:R31">
    <cfRule type="cellIs" dxfId="53" priority="69" operator="equal">
      <formula>MIN($R$3:$R$59)</formula>
    </cfRule>
    <cfRule type="cellIs" dxfId="52" priority="70" operator="equal">
      <formula>0.05292</formula>
    </cfRule>
    <cfRule type="cellIs" dxfId="51" priority="71" operator="equal">
      <formula>MIN($R$3:$R$59)</formula>
    </cfRule>
  </conditionalFormatting>
  <conditionalFormatting sqref="R3:R14 R17:R31">
    <cfRule type="cellIs" dxfId="50" priority="68" operator="equal">
      <formula>MIN($R$3:$R$59)</formula>
    </cfRule>
  </conditionalFormatting>
  <conditionalFormatting sqref="R32:R38">
    <cfRule type="cellIs" dxfId="49" priority="67" operator="equal">
      <formula>#REF!</formula>
    </cfRule>
  </conditionalFormatting>
  <conditionalFormatting sqref="R32:R38">
    <cfRule type="cellIs" dxfId="48" priority="64" operator="equal">
      <formula>MIN($R$3:$R$59)</formula>
    </cfRule>
    <cfRule type="cellIs" dxfId="47" priority="65" operator="equal">
      <formula>0.05292</formula>
    </cfRule>
    <cfRule type="cellIs" dxfId="46" priority="66" operator="equal">
      <formula>MIN($R$3:$R$59)</formula>
    </cfRule>
  </conditionalFormatting>
  <conditionalFormatting sqref="R32:R38">
    <cfRule type="cellIs" dxfId="45" priority="63" operator="equal">
      <formula>MIN($R$3:$R$59)</formula>
    </cfRule>
  </conditionalFormatting>
  <conditionalFormatting sqref="R39">
    <cfRule type="cellIs" dxfId="44" priority="62" operator="equal">
      <formula>#REF!</formula>
    </cfRule>
  </conditionalFormatting>
  <conditionalFormatting sqref="R39">
    <cfRule type="cellIs" dxfId="43" priority="59" operator="equal">
      <formula>MIN($R$3:$R$59)</formula>
    </cfRule>
    <cfRule type="cellIs" dxfId="42" priority="60" operator="equal">
      <formula>0.05292</formula>
    </cfRule>
    <cfRule type="cellIs" dxfId="41" priority="61" operator="equal">
      <formula>MIN($R$3:$R$59)</formula>
    </cfRule>
  </conditionalFormatting>
  <conditionalFormatting sqref="R39">
    <cfRule type="cellIs" dxfId="40" priority="58" operator="equal">
      <formula>MIN($R$3:$R$59)</formula>
    </cfRule>
  </conditionalFormatting>
  <conditionalFormatting sqref="R40">
    <cfRule type="cellIs" dxfId="39" priority="57" operator="equal">
      <formula>#REF!</formula>
    </cfRule>
  </conditionalFormatting>
  <conditionalFormatting sqref="R40">
    <cfRule type="cellIs" dxfId="38" priority="54" operator="equal">
      <formula>MIN($R$3:$R$59)</formula>
    </cfRule>
    <cfRule type="cellIs" dxfId="37" priority="55" operator="equal">
      <formula>0.05292</formula>
    </cfRule>
    <cfRule type="cellIs" dxfId="36" priority="56" operator="equal">
      <formula>MIN($R$3:$R$59)</formula>
    </cfRule>
  </conditionalFormatting>
  <conditionalFormatting sqref="R40">
    <cfRule type="cellIs" dxfId="35" priority="53" operator="equal">
      <formula>MIN($R$3:$R$59)</formula>
    </cfRule>
  </conditionalFormatting>
  <conditionalFormatting sqref="R41">
    <cfRule type="cellIs" dxfId="34" priority="52" operator="equal">
      <formula>#REF!</formula>
    </cfRule>
  </conditionalFormatting>
  <conditionalFormatting sqref="R41">
    <cfRule type="cellIs" dxfId="33" priority="49" operator="equal">
      <formula>MIN($R$3:$R$59)</formula>
    </cfRule>
    <cfRule type="cellIs" dxfId="32" priority="50" operator="equal">
      <formula>0.05292</formula>
    </cfRule>
    <cfRule type="cellIs" dxfId="31" priority="51" operator="equal">
      <formula>MIN($R$3:$R$59)</formula>
    </cfRule>
  </conditionalFormatting>
  <conditionalFormatting sqref="R41">
    <cfRule type="cellIs" dxfId="30" priority="48" operator="equal">
      <formula>MIN($R$3:$R$59)</formula>
    </cfRule>
  </conditionalFormatting>
  <conditionalFormatting sqref="R42:R45">
    <cfRule type="cellIs" dxfId="29" priority="47" operator="equal">
      <formula>#REF!</formula>
    </cfRule>
  </conditionalFormatting>
  <conditionalFormatting sqref="R42:R45">
    <cfRule type="cellIs" dxfId="28" priority="44" operator="equal">
      <formula>MIN($R$3:$R$59)</formula>
    </cfRule>
    <cfRule type="cellIs" dxfId="27" priority="45" operator="equal">
      <formula>0.05292</formula>
    </cfRule>
    <cfRule type="cellIs" dxfId="26" priority="46" operator="equal">
      <formula>MIN($R$3:$R$59)</formula>
    </cfRule>
  </conditionalFormatting>
  <conditionalFormatting sqref="R42:R45">
    <cfRule type="cellIs" dxfId="25" priority="43" operator="equal">
      <formula>MIN($R$3:$R$59)</formula>
    </cfRule>
  </conditionalFormatting>
  <conditionalFormatting sqref="R46:R48">
    <cfRule type="cellIs" dxfId="24" priority="27" operator="equal">
      <formula>#REF!</formula>
    </cfRule>
  </conditionalFormatting>
  <conditionalFormatting sqref="R46:R48">
    <cfRule type="cellIs" dxfId="23" priority="24" operator="equal">
      <formula>MIN($R$3:$R$59)</formula>
    </cfRule>
    <cfRule type="cellIs" dxfId="22" priority="25" operator="equal">
      <formula>0.05292</formula>
    </cfRule>
    <cfRule type="cellIs" dxfId="21" priority="26" operator="equal">
      <formula>MIN($R$3:$R$59)</formula>
    </cfRule>
  </conditionalFormatting>
  <conditionalFormatting sqref="R46:R48">
    <cfRule type="cellIs" dxfId="20" priority="23" operator="equal">
      <formula>MIN($R$3:$R$59)</formula>
    </cfRule>
  </conditionalFormatting>
  <conditionalFormatting sqref="R49:R52">
    <cfRule type="cellIs" dxfId="19" priority="22" operator="equal">
      <formula>#REF!</formula>
    </cfRule>
  </conditionalFormatting>
  <conditionalFormatting sqref="R49:R52">
    <cfRule type="cellIs" dxfId="18" priority="19" operator="equal">
      <formula>MIN($R$3:$R$59)</formula>
    </cfRule>
    <cfRule type="cellIs" dxfId="17" priority="20" operator="equal">
      <formula>0.05292</formula>
    </cfRule>
    <cfRule type="cellIs" dxfId="16" priority="21" operator="equal">
      <formula>MIN($R$3:$R$59)</formula>
    </cfRule>
  </conditionalFormatting>
  <conditionalFormatting sqref="R49:R52">
    <cfRule type="cellIs" dxfId="15" priority="18" operator="equal">
      <formula>MIN($R$3:$R$59)</formula>
    </cfRule>
  </conditionalFormatting>
  <conditionalFormatting sqref="R53:R59">
    <cfRule type="cellIs" dxfId="14" priority="12" operator="equal">
      <formula>#REF!</formula>
    </cfRule>
  </conditionalFormatting>
  <conditionalFormatting sqref="R53:R59">
    <cfRule type="cellIs" dxfId="13" priority="9" operator="equal">
      <formula>MIN($R$3:$R$59)</formula>
    </cfRule>
    <cfRule type="cellIs" dxfId="12" priority="10" operator="equal">
      <formula>0.05292</formula>
    </cfRule>
    <cfRule type="cellIs" dxfId="11" priority="11" operator="equal">
      <formula>MIN($R$3:$R$59)</formula>
    </cfRule>
  </conditionalFormatting>
  <conditionalFormatting sqref="R53:R59">
    <cfRule type="cellIs" dxfId="10" priority="8" operator="equal">
      <formula>MIN($R$3:$R$59)</formula>
    </cfRule>
  </conditionalFormatting>
  <conditionalFormatting sqref="F3">
    <cfRule type="expression" dxfId="9" priority="2">
      <formula>ABS($Z$61-$AC$18)&lt;0.001</formula>
    </cfRule>
  </conditionalFormatting>
  <conditionalFormatting sqref="B3">
    <cfRule type="expression" dxfId="8" priority="1">
      <formula>ABS($Z$60-$AA$61)&lt;0.001</formula>
    </cfRule>
  </conditionalFormatting>
  <pageMargins left="0.7" right="0.7" top="0.75" bottom="0.75" header="0.3" footer="0.3"/>
  <pageSetup paperSize="9" orientation="portrait" r:id="rId1"/>
  <ignoredErrors>
    <ignoredError sqref="J4:J12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63"/>
  <sheetViews>
    <sheetView zoomScale="85" zoomScaleNormal="85" workbookViewId="0">
      <selection activeCell="L15" sqref="L15"/>
    </sheetView>
  </sheetViews>
  <sheetFormatPr defaultRowHeight="16.5"/>
  <cols>
    <col min="1" max="2" width="9" customWidth="1"/>
    <col min="3" max="3" width="2.375" customWidth="1"/>
    <col min="8" max="8" width="8.875" hidden="1" customWidth="1"/>
    <col min="9" max="9" width="0" hidden="1" customWidth="1"/>
    <col min="10" max="10" width="8.875" customWidth="1"/>
    <col min="15" max="15" width="2.375" customWidth="1"/>
    <col min="16" max="17" width="9.375" bestFit="1" customWidth="1"/>
    <col min="18" max="18" width="10.375" bestFit="1" customWidth="1"/>
    <col min="19" max="20" width="9.375" customWidth="1"/>
    <col min="21" max="23" width="9.375" bestFit="1" customWidth="1"/>
    <col min="24" max="26" width="10.25" customWidth="1"/>
    <col min="27" max="27" width="15" customWidth="1"/>
    <col min="28" max="28" width="10.25" customWidth="1"/>
    <col min="29" max="29" width="13.75" customWidth="1"/>
    <col min="30" max="30" width="13.625" customWidth="1"/>
    <col min="31" max="31" width="13.375" bestFit="1" customWidth="1"/>
  </cols>
  <sheetData>
    <row r="1" spans="1:30" ht="22.5" customHeight="1">
      <c r="A1" s="11" t="s">
        <v>28</v>
      </c>
      <c r="B1" s="11" t="s">
        <v>37</v>
      </c>
      <c r="C1" s="12"/>
      <c r="D1" s="13" t="s">
        <v>1</v>
      </c>
      <c r="E1" s="11" t="s">
        <v>21</v>
      </c>
      <c r="F1" s="13" t="s">
        <v>2</v>
      </c>
      <c r="G1" s="13" t="s">
        <v>3</v>
      </c>
      <c r="H1" s="13" t="s">
        <v>38</v>
      </c>
      <c r="I1" s="13" t="s">
        <v>39</v>
      </c>
      <c r="J1" s="11" t="s">
        <v>42</v>
      </c>
      <c r="K1" s="11" t="s">
        <v>43</v>
      </c>
      <c r="L1" s="11" t="s">
        <v>165</v>
      </c>
      <c r="M1" s="13" t="s">
        <v>19</v>
      </c>
      <c r="N1" s="13" t="s">
        <v>20</v>
      </c>
      <c r="O1" s="12"/>
      <c r="P1" s="14" t="s">
        <v>6</v>
      </c>
      <c r="Q1" s="14" t="s">
        <v>7</v>
      </c>
      <c r="R1" s="14" t="s">
        <v>8</v>
      </c>
      <c r="S1" s="14" t="s">
        <v>22</v>
      </c>
      <c r="T1" s="14" t="s">
        <v>23</v>
      </c>
      <c r="U1" s="14" t="s">
        <v>9</v>
      </c>
      <c r="V1" s="14" t="s">
        <v>10</v>
      </c>
      <c r="W1" s="14" t="s">
        <v>12</v>
      </c>
      <c r="X1" s="14" t="s">
        <v>13</v>
      </c>
      <c r="Y1" s="14" t="s">
        <v>14</v>
      </c>
      <c r="Z1" s="14" t="s">
        <v>15</v>
      </c>
      <c r="AA1" s="14" t="s">
        <v>16</v>
      </c>
      <c r="AB1" s="14" t="s">
        <v>40</v>
      </c>
      <c r="AC1" s="15"/>
    </row>
    <row r="2" spans="1:30" ht="22.5" customHeight="1">
      <c r="A2" s="11" t="s">
        <v>24</v>
      </c>
      <c r="B2" s="11" t="s">
        <v>4</v>
      </c>
      <c r="C2" s="12"/>
      <c r="D2" s="13" t="s">
        <v>0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44</v>
      </c>
      <c r="N2" s="13" t="s">
        <v>5</v>
      </c>
      <c r="O2" s="12"/>
      <c r="P2" s="13" t="s">
        <v>4</v>
      </c>
      <c r="Q2" s="13" t="s">
        <v>4</v>
      </c>
      <c r="R2" s="13"/>
      <c r="S2" s="13" t="s">
        <v>4</v>
      </c>
      <c r="T2" s="13" t="s">
        <v>4</v>
      </c>
      <c r="U2" s="13" t="s">
        <v>4</v>
      </c>
      <c r="V2" s="14" t="s">
        <v>11</v>
      </c>
      <c r="W2" s="13"/>
      <c r="X2" s="13" t="s">
        <v>18</v>
      </c>
      <c r="Y2" s="13" t="s">
        <v>18</v>
      </c>
      <c r="Z2" s="13" t="s">
        <v>18</v>
      </c>
      <c r="AA2" s="13" t="s">
        <v>17</v>
      </c>
      <c r="AB2" s="14" t="s">
        <v>4</v>
      </c>
      <c r="AC2" s="15"/>
    </row>
    <row r="3" spans="1:30">
      <c r="A3" s="7">
        <f>stiffener_C_shaped_weld!K30</f>
        <v>490</v>
      </c>
      <c r="B3" s="3">
        <v>-26.70513</v>
      </c>
      <c r="D3" s="1">
        <v>1</v>
      </c>
      <c r="E3" s="2">
        <v>10</v>
      </c>
      <c r="F3" s="20">
        <v>12.232620000000001</v>
      </c>
      <c r="G3" s="2">
        <f>F3/SQRT(2)</f>
        <v>8.6497685536781841</v>
      </c>
      <c r="H3" s="20">
        <f t="shared" ref="H3:H12" si="0">(MAX($D$3:$D$14)-D3+0.5)*E3-$AB$3</f>
        <v>81.84210526315789</v>
      </c>
      <c r="I3" s="2">
        <f>(MAX(D17:D44)-MAX(D3:D14))*E17</f>
        <v>280</v>
      </c>
      <c r="J3" s="20">
        <f>H3-B3</f>
        <v>108.54723526315789</v>
      </c>
      <c r="K3" s="2">
        <f>I3</f>
        <v>280</v>
      </c>
      <c r="L3" s="2">
        <f>SQRT(J3^2+K3^2)</f>
        <v>300.3040164288106</v>
      </c>
      <c r="M3" s="2">
        <f>ABS(J3/K3)</f>
        <v>0.38766869736842102</v>
      </c>
      <c r="N3" s="2">
        <f>ATAN(M3)*180/PI()</f>
        <v>21.189752791411337</v>
      </c>
      <c r="P3" s="4">
        <f>0.209 * (N3+2)^-0.32 * F3</f>
        <v>0.93491259990957853</v>
      </c>
      <c r="Q3" s="4">
        <f>MIN(1.087*(N3+6)^-0.65 * F3, 0.17*F3)</f>
        <v>1.5537659881709536</v>
      </c>
      <c r="R3" s="4">
        <f>Q3/L3</f>
        <v>5.1739767141585529E-3</v>
      </c>
      <c r="S3" s="4">
        <f t="shared" ref="S3:S12" si="1">INDEX($Q$3:$Q$44, MATCH(MIN($R$3:$R$44),$R$3:$R$44,0))</f>
        <v>0.69773429150399779</v>
      </c>
      <c r="T3" s="2">
        <f t="shared" ref="T3:T12" si="2">INDEX($L$3:$L$44, MATCH(MIN($R$3:$R$44),$R$3:$R$44,0))</f>
        <v>275.33348431179843</v>
      </c>
      <c r="U3" s="6">
        <f>S3*L3/T3</f>
        <v>0.76101317884561526</v>
      </c>
      <c r="V3" s="4">
        <f>U3/P3</f>
        <v>0.81399392726038544</v>
      </c>
      <c r="W3" s="4">
        <f>POWER(V3*(1.9-0.9*V3),0.3)</f>
        <v>0.98481094390176671</v>
      </c>
      <c r="X3" s="3">
        <f>0.6*A3*G3*E3*(1+0.5*SIN(N3*PI()/180)^1.5)*W3/1000</f>
        <v>27.765261157605877</v>
      </c>
      <c r="Y3" s="8">
        <f>X3*COS(N3*PI()/180)</f>
        <v>25.888009146799398</v>
      </c>
      <c r="Z3" s="3">
        <f>X3*SIN(N3*PI()/180)</f>
        <v>10.035970783401492</v>
      </c>
      <c r="AA3" s="3">
        <f>L3*X3</f>
        <v>8338.0194428238919</v>
      </c>
      <c r="AB3" s="3">
        <f>(MAX(D3:D14)*E3*G3*MAX(D3:D14)*E3/2)/(MAX(D3:D14)*E3*G3+I3*G3)</f>
        <v>13.157894736842106</v>
      </c>
      <c r="AC3" s="3"/>
      <c r="AD3" s="15"/>
    </row>
    <row r="4" spans="1:30">
      <c r="A4" s="7">
        <f>A3</f>
        <v>490</v>
      </c>
      <c r="B4" s="3">
        <f t="shared" ref="A4:B19" si="3">B3</f>
        <v>-26.70513</v>
      </c>
      <c r="D4" s="1">
        <f>D3+1</f>
        <v>2</v>
      </c>
      <c r="E4" s="2">
        <f>E3</f>
        <v>10</v>
      </c>
      <c r="F4" s="2">
        <f>F3</f>
        <v>12.232620000000001</v>
      </c>
      <c r="G4" s="2">
        <f t="shared" ref="G4:G32" si="4">F4/SQRT(2)</f>
        <v>8.6497685536781841</v>
      </c>
      <c r="H4" s="20">
        <f t="shared" si="0"/>
        <v>71.84210526315789</v>
      </c>
      <c r="I4" s="2">
        <f>I3</f>
        <v>280</v>
      </c>
      <c r="J4" s="20">
        <f t="shared" ref="J4:J12" si="5">H4-B4</f>
        <v>98.547235263157887</v>
      </c>
      <c r="K4" s="2">
        <f>K3</f>
        <v>280</v>
      </c>
      <c r="L4" s="2">
        <f t="shared" ref="L4:L12" si="6">SQRT(J4^2+K4^2)</f>
        <v>296.8359101894718</v>
      </c>
      <c r="M4" s="2">
        <f t="shared" ref="M4:M12" si="7">ABS(J4/K4)</f>
        <v>0.35195441165413532</v>
      </c>
      <c r="N4" s="2">
        <f t="shared" ref="N4:N12" si="8">ATAN(M4)*180/PI()</f>
        <v>19.389744418059745</v>
      </c>
      <c r="P4" s="4">
        <f t="shared" ref="P4:P32" si="9">0.209 * (N4+2)^-0.32 * F4</f>
        <v>0.9594005882733968</v>
      </c>
      <c r="Q4" s="4">
        <f t="shared" ref="Q4:Q32" si="10">MIN(1.087*(N4+6)^-0.65 * F4, 0.17*F4)</f>
        <v>1.6245052340719197</v>
      </c>
      <c r="R4" s="4">
        <f t="shared" ref="R4:R32" si="11">Q4/L4</f>
        <v>5.4727382311492911E-3</v>
      </c>
      <c r="S4" s="4">
        <f t="shared" si="1"/>
        <v>0.69773429150399779</v>
      </c>
      <c r="T4" s="2">
        <f t="shared" si="2"/>
        <v>275.33348431179843</v>
      </c>
      <c r="U4" s="6">
        <f t="shared" ref="U4:U32" si="12">S4*L4/T4</f>
        <v>0.75222450333884205</v>
      </c>
      <c r="V4" s="4">
        <f t="shared" ref="V4:V32" si="13">U4/P4</f>
        <v>0.78405674598615471</v>
      </c>
      <c r="W4" s="4">
        <f t="shared" ref="W4:W32" si="14">POWER(V4*(1.9-0.9*V4),0.3)</f>
        <v>0.98049101001791394</v>
      </c>
      <c r="X4" s="3">
        <f t="shared" ref="X4:X32" si="15">0.6*A4*G4*E4*(1+0.5*SIN(N4*PI()/180)^1.5)*W4/1000</f>
        <v>27.319029806429302</v>
      </c>
      <c r="Y4" s="8">
        <f t="shared" ref="Y4:Y12" si="16">X4*COS(N4*PI()/180)</f>
        <v>25.769551739604552</v>
      </c>
      <c r="Z4" s="3">
        <f t="shared" ref="Z4:Z12" si="17">X4*SIN(N4*PI()/180)</f>
        <v>9.0697074211033186</v>
      </c>
      <c r="AA4" s="3">
        <f t="shared" ref="AA4:AA32" si="18">L4*X4</f>
        <v>8109.2690780847515</v>
      </c>
      <c r="AB4" s="3">
        <f>I3-(MAX(D3:D14)*E3*G3*G3/2+I3*G3*I3/2)/(MAX(D3:D14)*E3*G3+I3*G3)</f>
        <v>175.70397782188445</v>
      </c>
      <c r="AC4" s="3"/>
      <c r="AD4" s="15"/>
    </row>
    <row r="5" spans="1:30">
      <c r="A5" s="7">
        <f t="shared" si="3"/>
        <v>490</v>
      </c>
      <c r="B5" s="3">
        <f t="shared" si="3"/>
        <v>-26.70513</v>
      </c>
      <c r="D5" s="1">
        <f t="shared" ref="D5:D12" si="19">D4+1</f>
        <v>3</v>
      </c>
      <c r="E5" s="2">
        <f t="shared" ref="E5:F20" si="20">E4</f>
        <v>10</v>
      </c>
      <c r="F5" s="2">
        <f t="shared" si="20"/>
        <v>12.232620000000001</v>
      </c>
      <c r="G5" s="2">
        <f t="shared" si="4"/>
        <v>8.6497685536781841</v>
      </c>
      <c r="H5" s="20">
        <f t="shared" si="0"/>
        <v>61.84210526315789</v>
      </c>
      <c r="I5" s="2">
        <f t="shared" ref="I5:K12" si="21">I4</f>
        <v>280</v>
      </c>
      <c r="J5" s="20">
        <f t="shared" si="5"/>
        <v>88.547235263157887</v>
      </c>
      <c r="K5" s="2">
        <f t="shared" si="21"/>
        <v>280</v>
      </c>
      <c r="L5" s="2">
        <f t="shared" si="6"/>
        <v>293.66752097014239</v>
      </c>
      <c r="M5" s="2">
        <f t="shared" si="7"/>
        <v>0.31624012593984957</v>
      </c>
      <c r="N5" s="2">
        <f t="shared" si="8"/>
        <v>17.549044403708081</v>
      </c>
      <c r="P5" s="4">
        <f t="shared" si="9"/>
        <v>0.98742836880814377</v>
      </c>
      <c r="Q5" s="4">
        <f t="shared" si="10"/>
        <v>1.7059503657420494</v>
      </c>
      <c r="R5" s="4">
        <f t="shared" si="11"/>
        <v>5.8091216900880774E-3</v>
      </c>
      <c r="S5" s="4">
        <f t="shared" si="1"/>
        <v>0.69773429150399779</v>
      </c>
      <c r="T5" s="2">
        <f t="shared" si="2"/>
        <v>275.33348431179843</v>
      </c>
      <c r="U5" s="6">
        <f t="shared" si="12"/>
        <v>0.74419535347832511</v>
      </c>
      <c r="V5" s="4">
        <f t="shared" si="13"/>
        <v>0.75367021749293228</v>
      </c>
      <c r="W5" s="4">
        <f t="shared" si="14"/>
        <v>0.97553630723132512</v>
      </c>
      <c r="X5" s="3">
        <f t="shared" si="15"/>
        <v>26.861932600032027</v>
      </c>
      <c r="Y5" s="8">
        <f t="shared" si="16"/>
        <v>25.611756802937951</v>
      </c>
      <c r="Z5" s="3">
        <f t="shared" si="17"/>
        <v>8.099465196901896</v>
      </c>
      <c r="AA5" s="3">
        <f t="shared" si="18"/>
        <v>7888.4771551184567</v>
      </c>
      <c r="AB5" s="3"/>
      <c r="AC5" s="3"/>
      <c r="AD5" s="15"/>
    </row>
    <row r="6" spans="1:30">
      <c r="A6" s="7">
        <f t="shared" si="3"/>
        <v>490</v>
      </c>
      <c r="B6" s="3">
        <f t="shared" si="3"/>
        <v>-26.70513</v>
      </c>
      <c r="D6" s="1">
        <f t="shared" si="19"/>
        <v>4</v>
      </c>
      <c r="E6" s="2">
        <f t="shared" si="20"/>
        <v>10</v>
      </c>
      <c r="F6" s="2">
        <f t="shared" si="20"/>
        <v>12.232620000000001</v>
      </c>
      <c r="G6" s="2">
        <f t="shared" si="4"/>
        <v>8.6497685536781841</v>
      </c>
      <c r="H6" s="20">
        <f t="shared" si="0"/>
        <v>51.84210526315789</v>
      </c>
      <c r="I6" s="2">
        <f t="shared" si="21"/>
        <v>280</v>
      </c>
      <c r="J6" s="20">
        <f t="shared" si="5"/>
        <v>78.547235263157887</v>
      </c>
      <c r="K6" s="2">
        <f t="shared" si="21"/>
        <v>280</v>
      </c>
      <c r="L6" s="2">
        <f t="shared" si="6"/>
        <v>290.80864527638425</v>
      </c>
      <c r="M6" s="2">
        <f t="shared" si="7"/>
        <v>0.28052584022556387</v>
      </c>
      <c r="N6" s="2">
        <f t="shared" si="8"/>
        <v>15.670180721236108</v>
      </c>
      <c r="P6" s="4">
        <f t="shared" si="9"/>
        <v>1.0198790100016752</v>
      </c>
      <c r="Q6" s="4">
        <f t="shared" si="10"/>
        <v>1.800687634859647</v>
      </c>
      <c r="R6" s="4">
        <f t="shared" si="11"/>
        <v>6.1920017307197841E-3</v>
      </c>
      <c r="S6" s="4">
        <f t="shared" si="1"/>
        <v>0.69773429150399779</v>
      </c>
      <c r="T6" s="2">
        <f t="shared" si="2"/>
        <v>275.33348431179843</v>
      </c>
      <c r="U6" s="6">
        <f t="shared" si="12"/>
        <v>0.73695055500541795</v>
      </c>
      <c r="V6" s="4">
        <f t="shared" si="13"/>
        <v>0.72258625560320866</v>
      </c>
      <c r="W6" s="4">
        <f t="shared" si="14"/>
        <v>0.9698526555830882</v>
      </c>
      <c r="X6" s="3">
        <f t="shared" si="15"/>
        <v>26.394726312833608</v>
      </c>
      <c r="Y6" s="8">
        <f t="shared" si="16"/>
        <v>25.41369896541234</v>
      </c>
      <c r="Z6" s="3">
        <f t="shared" si="17"/>
        <v>7.1291992555118391</v>
      </c>
      <c r="AA6" s="3">
        <f t="shared" si="18"/>
        <v>7675.8146014760741</v>
      </c>
      <c r="AB6" s="3"/>
      <c r="AC6" s="3"/>
      <c r="AD6" s="15"/>
    </row>
    <row r="7" spans="1:30">
      <c r="A7" s="7">
        <f t="shared" si="3"/>
        <v>490</v>
      </c>
      <c r="B7" s="3">
        <f t="shared" si="3"/>
        <v>-26.70513</v>
      </c>
      <c r="D7" s="1">
        <f t="shared" si="19"/>
        <v>5</v>
      </c>
      <c r="E7" s="2">
        <f t="shared" si="20"/>
        <v>10</v>
      </c>
      <c r="F7" s="2">
        <f t="shared" si="20"/>
        <v>12.232620000000001</v>
      </c>
      <c r="G7" s="2">
        <f t="shared" si="4"/>
        <v>8.6497685536781841</v>
      </c>
      <c r="H7" s="20">
        <f t="shared" si="0"/>
        <v>41.84210526315789</v>
      </c>
      <c r="I7" s="2">
        <f t="shared" si="21"/>
        <v>280</v>
      </c>
      <c r="J7" s="20">
        <f t="shared" si="5"/>
        <v>68.547235263157887</v>
      </c>
      <c r="K7" s="2">
        <f t="shared" si="21"/>
        <v>280</v>
      </c>
      <c r="L7" s="2">
        <f t="shared" si="6"/>
        <v>288.26849196924508</v>
      </c>
      <c r="M7" s="2">
        <f t="shared" si="7"/>
        <v>0.24481155451127817</v>
      </c>
      <c r="N7" s="2">
        <f t="shared" si="8"/>
        <v>13.756114509342744</v>
      </c>
      <c r="P7" s="4">
        <f t="shared" si="9"/>
        <v>1.0579911864023743</v>
      </c>
      <c r="Q7" s="4">
        <f t="shared" si="10"/>
        <v>1.9122427865045191</v>
      </c>
      <c r="R7" s="4">
        <f t="shared" si="11"/>
        <v>6.6335476813349876E-3</v>
      </c>
      <c r="S7" s="4">
        <f t="shared" si="1"/>
        <v>0.69773429150399779</v>
      </c>
      <c r="T7" s="2">
        <f t="shared" si="2"/>
        <v>275.33348431179843</v>
      </c>
      <c r="U7" s="6">
        <f t="shared" si="12"/>
        <v>0.73051344448652</v>
      </c>
      <c r="V7" s="4">
        <f t="shared" si="13"/>
        <v>0.69047214558618419</v>
      </c>
      <c r="W7" s="4">
        <f t="shared" si="14"/>
        <v>0.96330035105538381</v>
      </c>
      <c r="X7" s="3">
        <f t="shared" si="15"/>
        <v>25.917311558518978</v>
      </c>
      <c r="Y7" s="8">
        <f t="shared" si="16"/>
        <v>25.173917505904654</v>
      </c>
      <c r="Z7" s="3">
        <f t="shared" si="17"/>
        <v>6.1628658777591969</v>
      </c>
      <c r="AA7" s="3">
        <f t="shared" si="18"/>
        <v>7471.1443188713511</v>
      </c>
      <c r="AB7" s="3"/>
      <c r="AC7" s="3"/>
      <c r="AD7" s="15"/>
    </row>
    <row r="8" spans="1:30">
      <c r="A8" s="7">
        <f t="shared" si="3"/>
        <v>490</v>
      </c>
      <c r="B8" s="3">
        <f t="shared" si="3"/>
        <v>-26.70513</v>
      </c>
      <c r="D8" s="1">
        <f t="shared" si="19"/>
        <v>6</v>
      </c>
      <c r="E8" s="2">
        <f t="shared" si="20"/>
        <v>10</v>
      </c>
      <c r="F8" s="2">
        <f t="shared" si="20"/>
        <v>12.232620000000001</v>
      </c>
      <c r="G8" s="2">
        <f t="shared" si="4"/>
        <v>8.6497685536781841</v>
      </c>
      <c r="H8" s="20">
        <f t="shared" si="0"/>
        <v>31.842105263157894</v>
      </c>
      <c r="I8" s="2">
        <f t="shared" si="21"/>
        <v>280</v>
      </c>
      <c r="J8" s="20">
        <f t="shared" si="5"/>
        <v>58.547235263157894</v>
      </c>
      <c r="K8" s="2">
        <f t="shared" si="21"/>
        <v>280</v>
      </c>
      <c r="L8" s="2">
        <f t="shared" si="6"/>
        <v>286.0555518722885</v>
      </c>
      <c r="M8" s="2">
        <f t="shared" si="7"/>
        <v>0.20909726879699247</v>
      </c>
      <c r="N8" s="2">
        <f t="shared" si="8"/>
        <v>11.810232077673167</v>
      </c>
      <c r="P8" s="4">
        <f t="shared" si="9"/>
        <v>1.1035739956754771</v>
      </c>
      <c r="Q8" s="4">
        <f t="shared" si="10"/>
        <v>2.0455674425527142</v>
      </c>
      <c r="R8" s="4">
        <f t="shared" si="11"/>
        <v>7.1509447349092951E-3</v>
      </c>
      <c r="S8" s="4">
        <f t="shared" si="1"/>
        <v>0.69773429150399779</v>
      </c>
      <c r="T8" s="2">
        <f t="shared" si="2"/>
        <v>275.33348431179843</v>
      </c>
      <c r="U8" s="6">
        <f t="shared" si="12"/>
        <v>0.72490553887870723</v>
      </c>
      <c r="V8" s="4">
        <f t="shared" si="13"/>
        <v>0.65687080496582928</v>
      </c>
      <c r="W8" s="4">
        <f t="shared" si="14"/>
        <v>0.95566921000975458</v>
      </c>
      <c r="X8" s="3">
        <f t="shared" si="15"/>
        <v>25.428131182406609</v>
      </c>
      <c r="Y8" s="8">
        <f t="shared" si="16"/>
        <v>24.889839349290337</v>
      </c>
      <c r="Z8" s="3">
        <f t="shared" si="17"/>
        <v>5.2043974287325216</v>
      </c>
      <c r="AA8" s="3">
        <f t="shared" si="18"/>
        <v>7273.8580984642704</v>
      </c>
      <c r="AB8" s="3"/>
      <c r="AC8" s="3"/>
      <c r="AD8" s="15"/>
    </row>
    <row r="9" spans="1:30">
      <c r="A9" s="7">
        <f t="shared" si="3"/>
        <v>490</v>
      </c>
      <c r="B9" s="3">
        <f t="shared" si="3"/>
        <v>-26.70513</v>
      </c>
      <c r="D9" s="1">
        <f t="shared" si="19"/>
        <v>7</v>
      </c>
      <c r="E9" s="2">
        <f t="shared" si="20"/>
        <v>10</v>
      </c>
      <c r="F9" s="2">
        <f t="shared" si="20"/>
        <v>12.232620000000001</v>
      </c>
      <c r="G9" s="2">
        <f t="shared" si="4"/>
        <v>8.6497685536781841</v>
      </c>
      <c r="H9" s="20">
        <f t="shared" si="0"/>
        <v>21.842105263157894</v>
      </c>
      <c r="I9" s="2">
        <f t="shared" si="21"/>
        <v>280</v>
      </c>
      <c r="J9" s="20">
        <f t="shared" si="5"/>
        <v>48.547235263157894</v>
      </c>
      <c r="K9" s="2">
        <f t="shared" si="21"/>
        <v>280</v>
      </c>
      <c r="L9" s="2">
        <f t="shared" si="6"/>
        <v>284.17746928934463</v>
      </c>
      <c r="M9" s="2">
        <f t="shared" si="7"/>
        <v>0.17338298308270678</v>
      </c>
      <c r="N9" s="2">
        <f t="shared" si="8"/>
        <v>9.8363256871005831</v>
      </c>
      <c r="P9" s="4">
        <f t="shared" si="9"/>
        <v>1.1594081817580486</v>
      </c>
      <c r="Q9" s="4">
        <f t="shared" si="10"/>
        <v>2.0795454000000002</v>
      </c>
      <c r="R9" s="4">
        <f t="shared" si="11"/>
        <v>7.3177701427224783E-3</v>
      </c>
      <c r="S9" s="4">
        <f t="shared" si="1"/>
        <v>0.69773429150399779</v>
      </c>
      <c r="T9" s="2">
        <f t="shared" si="2"/>
        <v>275.33348431179843</v>
      </c>
      <c r="U9" s="6">
        <f t="shared" si="12"/>
        <v>0.72014620993739908</v>
      </c>
      <c r="V9" s="4">
        <f t="shared" si="13"/>
        <v>0.62113259270382049</v>
      </c>
      <c r="W9" s="4">
        <f t="shared" si="14"/>
        <v>0.94663389467068992</v>
      </c>
      <c r="X9" s="3">
        <f t="shared" si="15"/>
        <v>24.923099173313265</v>
      </c>
      <c r="Y9" s="8">
        <f t="shared" si="16"/>
        <v>24.556724310266688</v>
      </c>
      <c r="Z9" s="3">
        <f t="shared" si="17"/>
        <v>4.2577181156536641</v>
      </c>
      <c r="AA9" s="3">
        <f t="shared" si="18"/>
        <v>7082.5832499195212</v>
      </c>
      <c r="AB9" s="3"/>
      <c r="AC9" s="3"/>
      <c r="AD9" s="15"/>
    </row>
    <row r="10" spans="1:30">
      <c r="A10" s="7">
        <f t="shared" si="3"/>
        <v>490</v>
      </c>
      <c r="B10" s="3">
        <f t="shared" si="3"/>
        <v>-26.70513</v>
      </c>
      <c r="D10" s="1">
        <f t="shared" si="19"/>
        <v>8</v>
      </c>
      <c r="E10" s="2">
        <f t="shared" si="20"/>
        <v>10</v>
      </c>
      <c r="F10" s="2">
        <f t="shared" si="20"/>
        <v>12.232620000000001</v>
      </c>
      <c r="G10" s="2">
        <f t="shared" si="4"/>
        <v>8.6497685536781841</v>
      </c>
      <c r="H10" s="20">
        <f t="shared" si="0"/>
        <v>11.842105263157894</v>
      </c>
      <c r="I10" s="2">
        <f t="shared" si="21"/>
        <v>280</v>
      </c>
      <c r="J10" s="20">
        <f t="shared" si="5"/>
        <v>38.547235263157894</v>
      </c>
      <c r="K10" s="2">
        <f t="shared" si="21"/>
        <v>280</v>
      </c>
      <c r="L10" s="2">
        <f t="shared" si="6"/>
        <v>282.64091944803965</v>
      </c>
      <c r="M10" s="2">
        <f t="shared" si="7"/>
        <v>0.13766869736842105</v>
      </c>
      <c r="N10" s="2">
        <f t="shared" si="8"/>
        <v>7.8385625909420265</v>
      </c>
      <c r="P10" s="4">
        <f t="shared" si="9"/>
        <v>1.2300638122692173</v>
      </c>
      <c r="Q10" s="4">
        <f t="shared" si="10"/>
        <v>2.0795454000000002</v>
      </c>
      <c r="R10" s="4">
        <f t="shared" si="11"/>
        <v>7.3575524876620035E-3</v>
      </c>
      <c r="S10" s="4">
        <f t="shared" si="1"/>
        <v>0.69773429150399779</v>
      </c>
      <c r="T10" s="2">
        <f t="shared" si="2"/>
        <v>275.33348431179843</v>
      </c>
      <c r="U10" s="6">
        <f t="shared" si="12"/>
        <v>0.71625237364079586</v>
      </c>
      <c r="V10" s="4">
        <f t="shared" si="13"/>
        <v>0.58228879387928345</v>
      </c>
      <c r="W10" s="4">
        <f t="shared" si="14"/>
        <v>0.93566715941940548</v>
      </c>
      <c r="X10" s="3">
        <f t="shared" si="15"/>
        <v>24.393526857348881</v>
      </c>
      <c r="Y10" s="8">
        <f t="shared" si="16"/>
        <v>24.165600414108969</v>
      </c>
      <c r="Z10" s="3">
        <f t="shared" si="17"/>
        <v>3.3268467301361579</v>
      </c>
      <c r="AA10" s="3">
        <f t="shared" si="18"/>
        <v>6894.6088595415367</v>
      </c>
      <c r="AB10" s="3"/>
      <c r="AC10" s="3"/>
      <c r="AD10" s="15"/>
    </row>
    <row r="11" spans="1:30">
      <c r="A11" s="7">
        <f t="shared" si="3"/>
        <v>490</v>
      </c>
      <c r="B11" s="3">
        <f t="shared" si="3"/>
        <v>-26.70513</v>
      </c>
      <c r="D11" s="1">
        <f t="shared" si="19"/>
        <v>9</v>
      </c>
      <c r="E11" s="2">
        <f t="shared" si="20"/>
        <v>10</v>
      </c>
      <c r="F11" s="2">
        <f t="shared" si="20"/>
        <v>12.232620000000001</v>
      </c>
      <c r="G11" s="2">
        <f t="shared" si="4"/>
        <v>8.6497685536781841</v>
      </c>
      <c r="H11" s="20">
        <f t="shared" si="0"/>
        <v>1.8421052631578938</v>
      </c>
      <c r="I11" s="2">
        <f t="shared" si="21"/>
        <v>280</v>
      </c>
      <c r="J11" s="20">
        <f t="shared" si="5"/>
        <v>28.547235263157894</v>
      </c>
      <c r="K11" s="2">
        <f t="shared" si="21"/>
        <v>280</v>
      </c>
      <c r="L11" s="2">
        <f t="shared" si="6"/>
        <v>281.45149607200545</v>
      </c>
      <c r="M11" s="2">
        <f t="shared" si="7"/>
        <v>0.10195441165413534</v>
      </c>
      <c r="N11" s="2">
        <f t="shared" si="8"/>
        <v>5.8214423800686452</v>
      </c>
      <c r="P11" s="4">
        <f t="shared" si="9"/>
        <v>1.3237744020653894</v>
      </c>
      <c r="Q11" s="4">
        <f t="shared" si="10"/>
        <v>2.0795454000000002</v>
      </c>
      <c r="R11" s="4">
        <f t="shared" si="11"/>
        <v>7.3886457489924923E-3</v>
      </c>
      <c r="S11" s="4">
        <f t="shared" si="1"/>
        <v>0.69773429150399779</v>
      </c>
      <c r="T11" s="2">
        <f t="shared" si="2"/>
        <v>275.33348431179843</v>
      </c>
      <c r="U11" s="6">
        <f t="shared" si="12"/>
        <v>0.71323820528183335</v>
      </c>
      <c r="V11" s="4">
        <f t="shared" si="13"/>
        <v>0.53879135611703877</v>
      </c>
      <c r="W11" s="4">
        <f t="shared" si="14"/>
        <v>0.92185199533341822</v>
      </c>
      <c r="X11" s="3">
        <f t="shared" si="15"/>
        <v>23.821628436331615</v>
      </c>
      <c r="Y11" s="8">
        <f t="shared" si="16"/>
        <v>23.698776006741895</v>
      </c>
      <c r="Z11" s="3">
        <f t="shared" si="17"/>
        <v>2.4161947646905086</v>
      </c>
      <c r="AA11" s="3">
        <f t="shared" si="18"/>
        <v>6704.6329622769608</v>
      </c>
      <c r="AB11" s="3"/>
      <c r="AC11" s="3"/>
      <c r="AD11" s="15"/>
    </row>
    <row r="12" spans="1:30">
      <c r="A12" s="7">
        <f t="shared" si="3"/>
        <v>490</v>
      </c>
      <c r="B12" s="3">
        <f t="shared" si="3"/>
        <v>-26.70513</v>
      </c>
      <c r="D12" s="1">
        <f t="shared" si="19"/>
        <v>10</v>
      </c>
      <c r="E12" s="2">
        <f t="shared" si="20"/>
        <v>10</v>
      </c>
      <c r="F12" s="2">
        <f t="shared" si="20"/>
        <v>12.232620000000001</v>
      </c>
      <c r="G12" s="2">
        <f t="shared" si="4"/>
        <v>8.6497685536781841</v>
      </c>
      <c r="H12" s="20">
        <f t="shared" si="0"/>
        <v>-8.1578947368421062</v>
      </c>
      <c r="I12" s="2">
        <f t="shared" si="21"/>
        <v>280</v>
      </c>
      <c r="J12" s="20">
        <f t="shared" si="5"/>
        <v>18.547235263157894</v>
      </c>
      <c r="K12" s="2">
        <f t="shared" si="21"/>
        <v>280</v>
      </c>
      <c r="L12" s="2">
        <f t="shared" si="6"/>
        <v>280.61361324053212</v>
      </c>
      <c r="M12" s="2">
        <f t="shared" si="7"/>
        <v>6.6240125939849626E-2</v>
      </c>
      <c r="N12" s="2">
        <f t="shared" si="8"/>
        <v>3.7897433005795635</v>
      </c>
      <c r="P12" s="4">
        <f t="shared" si="9"/>
        <v>1.4575209036154704</v>
      </c>
      <c r="Q12" s="4">
        <f t="shared" si="10"/>
        <v>2.0795454000000002</v>
      </c>
      <c r="R12" s="4">
        <f t="shared" si="11"/>
        <v>7.4107074706225573E-3</v>
      </c>
      <c r="S12" s="4">
        <f t="shared" si="1"/>
        <v>0.69773429150399779</v>
      </c>
      <c r="T12" s="2">
        <f t="shared" si="2"/>
        <v>275.33348431179843</v>
      </c>
      <c r="U12" s="6">
        <f t="shared" si="12"/>
        <v>0.71111489076655499</v>
      </c>
      <c r="V12" s="4">
        <f t="shared" si="13"/>
        <v>0.48789344221588227</v>
      </c>
      <c r="W12" s="4">
        <f t="shared" si="14"/>
        <v>0.9034066341841217</v>
      </c>
      <c r="X12" s="3">
        <f t="shared" si="15"/>
        <v>23.169110827395787</v>
      </c>
      <c r="Y12" s="8">
        <f t="shared" si="16"/>
        <v>23.118447308221256</v>
      </c>
      <c r="Z12" s="3">
        <f t="shared" si="17"/>
        <v>1.5313688612303535</v>
      </c>
      <c r="AA12" s="3">
        <f t="shared" si="18"/>
        <v>6501.5679048458669</v>
      </c>
      <c r="AB12" s="3"/>
      <c r="AC12" s="3"/>
      <c r="AD12" s="15"/>
    </row>
    <row r="13" spans="1:30">
      <c r="A13" s="7"/>
      <c r="B13" s="3"/>
      <c r="D13" s="1"/>
      <c r="E13" s="2"/>
      <c r="F13" s="2"/>
      <c r="G13" s="2"/>
      <c r="H13" s="20"/>
      <c r="I13" s="2"/>
      <c r="J13" s="20"/>
      <c r="K13" s="2"/>
      <c r="L13" s="2"/>
      <c r="M13" s="2"/>
      <c r="N13" s="2"/>
      <c r="P13" s="4"/>
      <c r="Q13" s="4"/>
      <c r="R13" s="4"/>
      <c r="S13" s="4"/>
      <c r="T13" s="2"/>
      <c r="U13" s="6"/>
      <c r="V13" s="4"/>
      <c r="W13" s="4"/>
      <c r="X13" s="3"/>
      <c r="Y13" s="8"/>
      <c r="Z13" s="3"/>
      <c r="AA13" s="3"/>
      <c r="AB13" s="3"/>
      <c r="AC13" s="3"/>
      <c r="AD13" s="15"/>
    </row>
    <row r="14" spans="1:30">
      <c r="A14" s="7"/>
      <c r="B14" s="3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P14" s="4"/>
      <c r="Q14" s="4"/>
      <c r="R14" s="4"/>
      <c r="S14" s="4"/>
      <c r="T14" s="2"/>
      <c r="U14" s="6"/>
      <c r="V14" s="4"/>
      <c r="W14" s="4"/>
      <c r="X14" s="3"/>
      <c r="Y14" s="8"/>
      <c r="Z14" s="3"/>
      <c r="AA14" s="3"/>
      <c r="AB14" s="3"/>
      <c r="AC14" s="3"/>
      <c r="AD14" s="15"/>
    </row>
    <row r="15" spans="1:30" ht="22.5" customHeight="1">
      <c r="A15" s="11" t="s">
        <v>28</v>
      </c>
      <c r="B15" s="11" t="s">
        <v>37</v>
      </c>
      <c r="C15" s="12"/>
      <c r="D15" s="13" t="s">
        <v>1</v>
      </c>
      <c r="E15" s="11" t="s">
        <v>21</v>
      </c>
      <c r="F15" s="13" t="s">
        <v>2</v>
      </c>
      <c r="G15" s="13" t="s">
        <v>3</v>
      </c>
      <c r="H15" s="13" t="s">
        <v>38</v>
      </c>
      <c r="I15" s="13" t="s">
        <v>39</v>
      </c>
      <c r="J15" s="11" t="s">
        <v>42</v>
      </c>
      <c r="K15" s="11" t="s">
        <v>43</v>
      </c>
      <c r="L15" s="11" t="s">
        <v>165</v>
      </c>
      <c r="M15" s="13" t="s">
        <v>19</v>
      </c>
      <c r="N15" s="13" t="s">
        <v>20</v>
      </c>
      <c r="O15" s="12"/>
      <c r="P15" s="14" t="s">
        <v>6</v>
      </c>
      <c r="Q15" s="14" t="s">
        <v>7</v>
      </c>
      <c r="R15" s="14" t="s">
        <v>8</v>
      </c>
      <c r="S15" s="14" t="s">
        <v>22</v>
      </c>
      <c r="T15" s="14" t="s">
        <v>23</v>
      </c>
      <c r="U15" s="14" t="s">
        <v>9</v>
      </c>
      <c r="V15" s="14" t="s">
        <v>10</v>
      </c>
      <c r="W15" s="14" t="s">
        <v>12</v>
      </c>
      <c r="X15" s="14" t="s">
        <v>13</v>
      </c>
      <c r="Y15" s="14" t="s">
        <v>14</v>
      </c>
      <c r="Z15" s="14" t="s">
        <v>15</v>
      </c>
      <c r="AA15" s="14" t="s">
        <v>16</v>
      </c>
      <c r="AB15" s="14" t="s">
        <v>41</v>
      </c>
      <c r="AC15" s="14" t="s">
        <v>29</v>
      </c>
      <c r="AD15" s="14" t="s">
        <v>27</v>
      </c>
    </row>
    <row r="16" spans="1:30" ht="22.5" customHeight="1">
      <c r="A16" s="11" t="s">
        <v>24</v>
      </c>
      <c r="B16" s="11" t="s">
        <v>4</v>
      </c>
      <c r="C16" s="12"/>
      <c r="D16" s="13" t="s">
        <v>0</v>
      </c>
      <c r="E16" s="13" t="s">
        <v>4</v>
      </c>
      <c r="F16" s="13" t="s">
        <v>4</v>
      </c>
      <c r="G16" s="13" t="s">
        <v>4</v>
      </c>
      <c r="H16" s="13" t="s">
        <v>4</v>
      </c>
      <c r="I16" s="13" t="s">
        <v>4</v>
      </c>
      <c r="J16" s="13" t="s">
        <v>4</v>
      </c>
      <c r="K16" s="13" t="s">
        <v>4</v>
      </c>
      <c r="L16" s="13" t="s">
        <v>4</v>
      </c>
      <c r="M16" s="13" t="s">
        <v>45</v>
      </c>
      <c r="N16" s="13" t="s">
        <v>5</v>
      </c>
      <c r="O16" s="12"/>
      <c r="P16" s="13" t="s">
        <v>4</v>
      </c>
      <c r="Q16" s="13" t="s">
        <v>4</v>
      </c>
      <c r="R16" s="13"/>
      <c r="S16" s="13" t="s">
        <v>4</v>
      </c>
      <c r="T16" s="13" t="s">
        <v>4</v>
      </c>
      <c r="U16" s="13" t="s">
        <v>4</v>
      </c>
      <c r="V16" s="14" t="s">
        <v>11</v>
      </c>
      <c r="W16" s="13"/>
      <c r="X16" s="13" t="s">
        <v>18</v>
      </c>
      <c r="Y16" s="13" t="s">
        <v>18</v>
      </c>
      <c r="Z16" s="13" t="s">
        <v>18</v>
      </c>
      <c r="AA16" s="13" t="s">
        <v>17</v>
      </c>
      <c r="AB16" s="14" t="s">
        <v>4</v>
      </c>
      <c r="AC16" s="14" t="s">
        <v>18</v>
      </c>
      <c r="AD16" s="13" t="s">
        <v>17</v>
      </c>
    </row>
    <row r="17" spans="1:30">
      <c r="A17" s="7">
        <f>A3</f>
        <v>490</v>
      </c>
      <c r="B17" s="3">
        <f>B3</f>
        <v>-26.70513</v>
      </c>
      <c r="D17" s="1">
        <f>MAX(D3:D14)+1</f>
        <v>11</v>
      </c>
      <c r="E17" s="2">
        <f>E3</f>
        <v>10</v>
      </c>
      <c r="F17" s="2">
        <f>F3</f>
        <v>12.232620000000001</v>
      </c>
      <c r="G17" s="2">
        <f t="shared" si="4"/>
        <v>8.6497685536781841</v>
      </c>
      <c r="H17" s="2">
        <f>-$AB$3</f>
        <v>-13.157894736842106</v>
      </c>
      <c r="I17" s="2">
        <f t="shared" ref="I17:I35" si="22">E17*(MAX($D$17:$D$44)-D17+0.5)</f>
        <v>275</v>
      </c>
      <c r="J17" s="20">
        <f t="shared" ref="J17:J32" si="23">H17-B17</f>
        <v>13.547235263157894</v>
      </c>
      <c r="K17" s="2">
        <f>I17</f>
        <v>275</v>
      </c>
      <c r="L17" s="2">
        <f t="shared" ref="L17:L32" si="24">SQRT(J17^2+K17^2)</f>
        <v>275.33348431179843</v>
      </c>
      <c r="M17" s="2">
        <f>IF(J17=0,"infinity",ABS(K17/J17))</f>
        <v>20.299344822620053</v>
      </c>
      <c r="N17" s="2">
        <f>IF(J17=0,90,ATAN(M17)*180/PI())</f>
        <v>87.179736651211314</v>
      </c>
      <c r="P17" s="4">
        <f>0.209 * (ABS(N17)+2)^-0.32 * F17</f>
        <v>0.60754799441652607</v>
      </c>
      <c r="Q17" s="4">
        <f t="shared" si="10"/>
        <v>0.69773429150399779</v>
      </c>
      <c r="R17" s="4">
        <f t="shared" si="11"/>
        <v>2.5341425262822596E-3</v>
      </c>
      <c r="S17" s="4">
        <f t="shared" ref="S17:S35" si="25">INDEX($Q$3:$Q$44, MATCH(MIN($R$3:$R$44),$R$3:$R$44,0))</f>
        <v>0.69773429150399779</v>
      </c>
      <c r="T17" s="2">
        <f t="shared" ref="T17:T35" si="26">INDEX($L$3:$L$44, MATCH(MIN($R$3:$R$44),$R$3:$R$44,0))</f>
        <v>275.33348431179843</v>
      </c>
      <c r="U17" s="6">
        <f t="shared" si="12"/>
        <v>0.69773429150399779</v>
      </c>
      <c r="V17" s="4">
        <f t="shared" si="13"/>
        <v>1.1484430825487038</v>
      </c>
      <c r="W17" s="4">
        <f t="shared" si="14"/>
        <v>0.99850112900806398</v>
      </c>
      <c r="X17" s="3">
        <f t="shared" si="15"/>
        <v>38.065244850820172</v>
      </c>
      <c r="Y17" s="8">
        <f>X17*SIN(N17*PI()/180)</f>
        <v>38.019140171564601</v>
      </c>
      <c r="Z17" s="3">
        <f>X17*COS(N17*PI()/180)</f>
        <v>1.8729244960260532</v>
      </c>
      <c r="AA17" s="3">
        <f t="shared" si="18"/>
        <v>10480.636495958062</v>
      </c>
      <c r="AB17" s="3">
        <f>AD17/AC18+MAX($D$3:$D$14)*E3-AB3</f>
        <v>1133.2706766917292</v>
      </c>
      <c r="AC17" s="3"/>
      <c r="AD17" s="3">
        <f>stiffener_C_shaped_weld!K85*1000/2</f>
        <v>146500</v>
      </c>
    </row>
    <row r="18" spans="1:30">
      <c r="A18" s="7">
        <f t="shared" si="3"/>
        <v>490</v>
      </c>
      <c r="B18" s="3">
        <f t="shared" si="3"/>
        <v>-26.70513</v>
      </c>
      <c r="D18" s="1">
        <f>D17+1</f>
        <v>12</v>
      </c>
      <c r="E18" s="2">
        <f t="shared" si="20"/>
        <v>10</v>
      </c>
      <c r="F18" s="2">
        <f t="shared" si="20"/>
        <v>12.232620000000001</v>
      </c>
      <c r="G18" s="2">
        <f t="shared" si="4"/>
        <v>8.6497685536781841</v>
      </c>
      <c r="H18" s="2">
        <f t="shared" ref="H18:H44" si="27">-$AB$3</f>
        <v>-13.157894736842106</v>
      </c>
      <c r="I18" s="2">
        <f t="shared" si="22"/>
        <v>265</v>
      </c>
      <c r="J18" s="20">
        <f t="shared" si="23"/>
        <v>13.547235263157894</v>
      </c>
      <c r="K18" s="2">
        <f t="shared" ref="K18:K32" si="28">I18</f>
        <v>265</v>
      </c>
      <c r="L18" s="2">
        <f t="shared" si="24"/>
        <v>265.34605251119785</v>
      </c>
      <c r="M18" s="2">
        <f t="shared" ref="M18:M32" si="29">IF(J18=0,"infinity",ABS(K18/J18))</f>
        <v>19.56118682907023</v>
      </c>
      <c r="N18" s="2">
        <f t="shared" ref="N18:N32" si="30">IF(J18=0,90,ATAN(M18)*180/PI())</f>
        <v>87.073493267900261</v>
      </c>
      <c r="P18" s="4">
        <f t="shared" si="9"/>
        <v>0.60777979148336381</v>
      </c>
      <c r="Q18" s="4">
        <f t="shared" si="10"/>
        <v>0.69825188949562156</v>
      </c>
      <c r="R18" s="4">
        <f t="shared" si="11"/>
        <v>2.6314764545673983E-3</v>
      </c>
      <c r="S18" s="4">
        <f t="shared" si="25"/>
        <v>0.69773429150399779</v>
      </c>
      <c r="T18" s="2">
        <f t="shared" si="26"/>
        <v>275.33348431179843</v>
      </c>
      <c r="U18" s="6">
        <f t="shared" si="12"/>
        <v>0.67242471584975205</v>
      </c>
      <c r="V18" s="4">
        <f t="shared" si="13"/>
        <v>1.1063624116369748</v>
      </c>
      <c r="W18" s="4">
        <f t="shared" si="14"/>
        <v>1.000136350753186</v>
      </c>
      <c r="X18" s="3">
        <f t="shared" si="15"/>
        <v>38.1258113895516</v>
      </c>
      <c r="Y18" s="8">
        <f t="shared" ref="Y18:Y32" si="31">X18*SIN(N18*PI()/180)</f>
        <v>38.076089403307797</v>
      </c>
      <c r="Z18" s="3">
        <f t="shared" ref="Z18:Z32" si="32">X18*COS(N18*PI()/180)</f>
        <v>1.9465122303684628</v>
      </c>
      <c r="AA18" s="3">
        <f t="shared" si="18"/>
        <v>10116.533551003984</v>
      </c>
      <c r="AB18" s="3"/>
      <c r="AC18" s="17">
        <f>stiffener_C_shaped_weld!K86</f>
        <v>140</v>
      </c>
      <c r="AD18" s="3"/>
    </row>
    <row r="19" spans="1:30">
      <c r="A19" s="7">
        <f t="shared" si="3"/>
        <v>490</v>
      </c>
      <c r="B19" s="3">
        <f t="shared" si="3"/>
        <v>-26.70513</v>
      </c>
      <c r="D19" s="1">
        <f t="shared" ref="D19:D44" si="33">D18+1</f>
        <v>13</v>
      </c>
      <c r="E19" s="2">
        <f t="shared" si="20"/>
        <v>10</v>
      </c>
      <c r="F19" s="2">
        <f t="shared" si="20"/>
        <v>12.232620000000001</v>
      </c>
      <c r="G19" s="2">
        <f t="shared" si="4"/>
        <v>8.6497685536781841</v>
      </c>
      <c r="H19" s="2">
        <f t="shared" si="27"/>
        <v>-13.157894736842106</v>
      </c>
      <c r="I19" s="2">
        <f t="shared" si="22"/>
        <v>255</v>
      </c>
      <c r="J19" s="20">
        <f t="shared" si="23"/>
        <v>13.547235263157894</v>
      </c>
      <c r="K19" s="2">
        <f t="shared" si="28"/>
        <v>255</v>
      </c>
      <c r="L19" s="2">
        <f t="shared" si="24"/>
        <v>255.3596044468963</v>
      </c>
      <c r="M19" s="2">
        <f t="shared" si="29"/>
        <v>18.823028835520411</v>
      </c>
      <c r="N19" s="2">
        <f t="shared" si="30"/>
        <v>86.958939661426385</v>
      </c>
      <c r="P19" s="4">
        <f t="shared" si="9"/>
        <v>0.60803012866267525</v>
      </c>
      <c r="Q19" s="4">
        <f t="shared" si="10"/>
        <v>0.6988110667101689</v>
      </c>
      <c r="R19" s="4">
        <f t="shared" si="11"/>
        <v>2.7365763986977481E-3</v>
      </c>
      <c r="S19" s="4">
        <f t="shared" si="25"/>
        <v>0.69773429150399779</v>
      </c>
      <c r="T19" s="2">
        <f t="shared" si="26"/>
        <v>275.33348431179843</v>
      </c>
      <c r="U19" s="6">
        <f t="shared" si="12"/>
        <v>0.64711763312349635</v>
      </c>
      <c r="V19" s="4">
        <f t="shared" si="13"/>
        <v>1.064285473068237</v>
      </c>
      <c r="W19" s="4">
        <f t="shared" si="14"/>
        <v>1.0008119867520133</v>
      </c>
      <c r="X19" s="3">
        <f t="shared" si="15"/>
        <v>38.149581843638721</v>
      </c>
      <c r="Y19" s="8">
        <f t="shared" si="31"/>
        <v>38.095858548962092</v>
      </c>
      <c r="Z19" s="3">
        <f t="shared" si="32"/>
        <v>2.0238963071167655</v>
      </c>
      <c r="AA19" s="3">
        <f t="shared" si="18"/>
        <v>9741.8621294060813</v>
      </c>
      <c r="AB19" s="14" t="s">
        <v>36</v>
      </c>
      <c r="AC19" s="3"/>
      <c r="AD19" s="3"/>
    </row>
    <row r="20" spans="1:30">
      <c r="A20" s="7">
        <f t="shared" ref="A20:B32" si="34">A19</f>
        <v>490</v>
      </c>
      <c r="B20" s="3">
        <f t="shared" si="34"/>
        <v>-26.70513</v>
      </c>
      <c r="D20" s="1">
        <f t="shared" si="33"/>
        <v>14</v>
      </c>
      <c r="E20" s="2">
        <f t="shared" si="20"/>
        <v>10</v>
      </c>
      <c r="F20" s="2">
        <f t="shared" si="20"/>
        <v>12.232620000000001</v>
      </c>
      <c r="G20" s="2">
        <f t="shared" si="4"/>
        <v>8.6497685536781841</v>
      </c>
      <c r="H20" s="2">
        <f t="shared" si="27"/>
        <v>-13.157894736842106</v>
      </c>
      <c r="I20" s="2">
        <f t="shared" si="22"/>
        <v>245</v>
      </c>
      <c r="J20" s="20">
        <f t="shared" si="23"/>
        <v>13.547235263157894</v>
      </c>
      <c r="K20" s="2">
        <f t="shared" si="28"/>
        <v>245</v>
      </c>
      <c r="L20" s="2">
        <f t="shared" si="24"/>
        <v>245.37426022970573</v>
      </c>
      <c r="M20" s="2">
        <f t="shared" si="29"/>
        <v>18.084870841970591</v>
      </c>
      <c r="N20" s="2">
        <f t="shared" si="30"/>
        <v>86.835062158215464</v>
      </c>
      <c r="P20" s="4">
        <f t="shared" si="9"/>
        <v>0.60830132093849465</v>
      </c>
      <c r="Q20" s="4">
        <f t="shared" si="10"/>
        <v>0.69941703817744594</v>
      </c>
      <c r="R20" s="4">
        <f t="shared" si="11"/>
        <v>2.8504091567008319E-3</v>
      </c>
      <c r="S20" s="4">
        <f t="shared" si="25"/>
        <v>0.69773429150399779</v>
      </c>
      <c r="T20" s="2">
        <f t="shared" si="26"/>
        <v>275.33348431179843</v>
      </c>
      <c r="U20" s="6">
        <f t="shared" si="12"/>
        <v>0.62181334770314711</v>
      </c>
      <c r="V20" s="4">
        <f t="shared" si="13"/>
        <v>1.0222127197485054</v>
      </c>
      <c r="W20" s="4">
        <f t="shared" si="14"/>
        <v>1.0005328309590142</v>
      </c>
      <c r="X20" s="3">
        <f t="shared" si="15"/>
        <v>38.136709074879903</v>
      </c>
      <c r="Y20" s="8">
        <f t="shared" si="31"/>
        <v>38.078540571446723</v>
      </c>
      <c r="Z20" s="3">
        <f t="shared" si="32"/>
        <v>2.1055467248942477</v>
      </c>
      <c r="AA20" s="3">
        <f t="shared" si="18"/>
        <v>9357.7667768441606</v>
      </c>
      <c r="AB20" s="14" t="s">
        <v>4</v>
      </c>
      <c r="AC20" s="3"/>
      <c r="AD20" s="3"/>
    </row>
    <row r="21" spans="1:30">
      <c r="A21" s="7">
        <f t="shared" si="34"/>
        <v>490</v>
      </c>
      <c r="B21" s="3">
        <f t="shared" si="34"/>
        <v>-26.70513</v>
      </c>
      <c r="D21" s="1">
        <f t="shared" si="33"/>
        <v>15</v>
      </c>
      <c r="E21" s="2">
        <f t="shared" ref="E21:F32" si="35">E20</f>
        <v>10</v>
      </c>
      <c r="F21" s="2">
        <f t="shared" si="35"/>
        <v>12.232620000000001</v>
      </c>
      <c r="G21" s="2">
        <f t="shared" si="4"/>
        <v>8.6497685536781841</v>
      </c>
      <c r="H21" s="2">
        <f t="shared" si="27"/>
        <v>-13.157894736842106</v>
      </c>
      <c r="I21" s="2">
        <f t="shared" si="22"/>
        <v>235</v>
      </c>
      <c r="J21" s="20">
        <f t="shared" si="23"/>
        <v>13.547235263157894</v>
      </c>
      <c r="K21" s="2">
        <f t="shared" si="28"/>
        <v>235</v>
      </c>
      <c r="L21" s="2">
        <f t="shared" si="24"/>
        <v>235.39016033656833</v>
      </c>
      <c r="M21" s="2">
        <f t="shared" si="29"/>
        <v>17.346712848420772</v>
      </c>
      <c r="N21" s="2">
        <f t="shared" si="30"/>
        <v>86.700675425424478</v>
      </c>
      <c r="P21" s="4">
        <f t="shared" si="9"/>
        <v>0.60859608506302931</v>
      </c>
      <c r="Q21" s="4">
        <f t="shared" si="10"/>
        <v>0.70007592821499087</v>
      </c>
      <c r="R21" s="4">
        <f t="shared" si="11"/>
        <v>2.9741087189625944E-3</v>
      </c>
      <c r="S21" s="4">
        <f t="shared" si="25"/>
        <v>0.69773429150399779</v>
      </c>
      <c r="T21" s="2">
        <f t="shared" si="26"/>
        <v>275.33348431179843</v>
      </c>
      <c r="U21" s="6">
        <f t="shared" si="12"/>
        <v>0.59651221557729739</v>
      </c>
      <c r="V21" s="4">
        <f t="shared" si="13"/>
        <v>0.98014468087733353</v>
      </c>
      <c r="W21" s="4">
        <f t="shared" si="14"/>
        <v>0.99929732145790662</v>
      </c>
      <c r="X21" s="3">
        <f t="shared" si="15"/>
        <v>38.087097461138285</v>
      </c>
      <c r="Y21" s="8">
        <f t="shared" si="31"/>
        <v>38.023967911699593</v>
      </c>
      <c r="Z21" s="3">
        <f t="shared" si="32"/>
        <v>2.1919984635683436</v>
      </c>
      <c r="AA21" s="3">
        <f t="shared" si="18"/>
        <v>8965.3279781318452</v>
      </c>
      <c r="AB21" s="3">
        <f>AB17-B3</f>
        <v>1159.9758066917293</v>
      </c>
      <c r="AC21" s="3"/>
      <c r="AD21" s="3"/>
    </row>
    <row r="22" spans="1:30" hidden="1">
      <c r="A22" s="7">
        <f t="shared" si="34"/>
        <v>490</v>
      </c>
      <c r="B22" s="3">
        <f t="shared" si="34"/>
        <v>-26.70513</v>
      </c>
      <c r="D22" s="1">
        <f t="shared" si="33"/>
        <v>16</v>
      </c>
      <c r="E22" s="2">
        <f t="shared" si="35"/>
        <v>10</v>
      </c>
      <c r="F22" s="2">
        <f t="shared" si="35"/>
        <v>12.232620000000001</v>
      </c>
      <c r="G22" s="2">
        <f t="shared" si="4"/>
        <v>8.6497685536781841</v>
      </c>
      <c r="H22" s="2">
        <f t="shared" si="27"/>
        <v>-13.157894736842106</v>
      </c>
      <c r="I22" s="2">
        <f t="shared" si="22"/>
        <v>225</v>
      </c>
      <c r="J22" s="20">
        <f t="shared" si="23"/>
        <v>13.547235263157894</v>
      </c>
      <c r="K22" s="2">
        <f t="shared" si="28"/>
        <v>225</v>
      </c>
      <c r="L22" s="2">
        <f t="shared" si="24"/>
        <v>225.40747011418088</v>
      </c>
      <c r="M22" s="2">
        <f t="shared" si="29"/>
        <v>16.608554854870953</v>
      </c>
      <c r="N22" s="2">
        <f t="shared" si="30"/>
        <v>86.554384573926939</v>
      </c>
      <c r="P22" s="4">
        <f t="shared" si="9"/>
        <v>0.60891763057733206</v>
      </c>
      <c r="Q22" s="4">
        <f t="shared" si="10"/>
        <v>0.70079497742447716</v>
      </c>
      <c r="R22" s="4">
        <f t="shared" si="11"/>
        <v>3.1090139872892732E-3</v>
      </c>
      <c r="S22" s="4">
        <f t="shared" si="25"/>
        <v>0.69773429150399779</v>
      </c>
      <c r="T22" s="2">
        <f t="shared" si="26"/>
        <v>275.33348431179843</v>
      </c>
      <c r="U22" s="6">
        <f t="shared" si="12"/>
        <v>0.57121465575804331</v>
      </c>
      <c r="V22" s="4">
        <f t="shared" si="13"/>
        <v>0.9380819787012219</v>
      </c>
      <c r="W22" s="4">
        <f t="shared" si="14"/>
        <v>0.99709750632133398</v>
      </c>
      <c r="X22" s="3">
        <f t="shared" si="15"/>
        <v>38.000400043181955</v>
      </c>
      <c r="Y22" s="8">
        <f t="shared" si="31"/>
        <v>37.931706546304184</v>
      </c>
      <c r="Z22" s="3">
        <f t="shared" si="32"/>
        <v>2.2838655667371102</v>
      </c>
      <c r="AA22" s="3">
        <f t="shared" si="18"/>
        <v>8565.5740370604544</v>
      </c>
      <c r="AB22" s="3"/>
      <c r="AC22" s="3"/>
      <c r="AD22" s="3"/>
    </row>
    <row r="23" spans="1:30" hidden="1">
      <c r="A23" s="7">
        <f t="shared" si="34"/>
        <v>490</v>
      </c>
      <c r="B23" s="3">
        <f t="shared" si="34"/>
        <v>-26.70513</v>
      </c>
      <c r="D23" s="1">
        <f t="shared" si="33"/>
        <v>17</v>
      </c>
      <c r="E23" s="2">
        <f t="shared" si="35"/>
        <v>10</v>
      </c>
      <c r="F23" s="2">
        <f t="shared" si="35"/>
        <v>12.232620000000001</v>
      </c>
      <c r="G23" s="2">
        <f t="shared" si="4"/>
        <v>8.6497685536781841</v>
      </c>
      <c r="H23" s="2">
        <f t="shared" si="27"/>
        <v>-13.157894736842106</v>
      </c>
      <c r="I23" s="2">
        <f t="shared" si="22"/>
        <v>215</v>
      </c>
      <c r="J23" s="20">
        <f t="shared" si="23"/>
        <v>13.547235263157894</v>
      </c>
      <c r="K23" s="2">
        <f t="shared" si="28"/>
        <v>215</v>
      </c>
      <c r="L23" s="2">
        <f t="shared" si="24"/>
        <v>215.42638553175269</v>
      </c>
      <c r="M23" s="2">
        <f t="shared" si="29"/>
        <v>15.870396861321131</v>
      </c>
      <c r="N23" s="2">
        <f t="shared" si="30"/>
        <v>86.394536771808163</v>
      </c>
      <c r="P23" s="4">
        <f t="shared" si="9"/>
        <v>0.60926977672335303</v>
      </c>
      <c r="Q23" s="4">
        <f t="shared" si="10"/>
        <v>0.70158280886660218</v>
      </c>
      <c r="R23" s="4">
        <f t="shared" si="11"/>
        <v>3.2567171710876273E-3</v>
      </c>
      <c r="S23" s="4">
        <f t="shared" si="25"/>
        <v>0.69773429150399779</v>
      </c>
      <c r="T23" s="2">
        <f t="shared" si="26"/>
        <v>275.33348431179843</v>
      </c>
      <c r="U23" s="6">
        <f t="shared" si="12"/>
        <v>0.54592116485929187</v>
      </c>
      <c r="V23" s="4">
        <f t="shared" si="13"/>
        <v>0.89602534987908089</v>
      </c>
      <c r="W23" s="4">
        <f t="shared" si="14"/>
        <v>0.99391883654607016</v>
      </c>
      <c r="X23" s="3">
        <f t="shared" si="15"/>
        <v>37.876008589491093</v>
      </c>
      <c r="Y23" s="8">
        <f t="shared" si="31"/>
        <v>37.801041996966987</v>
      </c>
      <c r="Z23" s="3">
        <f t="shared" si="32"/>
        <v>2.3818586470949836</v>
      </c>
      <c r="AA23" s="3">
        <f t="shared" si="18"/>
        <v>8159.4916288036848</v>
      </c>
      <c r="AB23" s="3"/>
      <c r="AC23" s="3"/>
      <c r="AD23" s="3"/>
    </row>
    <row r="24" spans="1:30" hidden="1">
      <c r="A24" s="7">
        <f t="shared" si="34"/>
        <v>490</v>
      </c>
      <c r="B24" s="3">
        <f t="shared" si="34"/>
        <v>-26.70513</v>
      </c>
      <c r="D24" s="1">
        <f t="shared" si="33"/>
        <v>18</v>
      </c>
      <c r="E24" s="2">
        <f t="shared" si="35"/>
        <v>10</v>
      </c>
      <c r="F24" s="2">
        <f t="shared" si="35"/>
        <v>12.232620000000001</v>
      </c>
      <c r="G24" s="2">
        <f t="shared" si="4"/>
        <v>8.6497685536781841</v>
      </c>
      <c r="H24" s="2">
        <f t="shared" si="27"/>
        <v>-13.157894736842106</v>
      </c>
      <c r="I24" s="2">
        <f t="shared" si="22"/>
        <v>205</v>
      </c>
      <c r="J24" s="20">
        <f t="shared" si="23"/>
        <v>13.547235263157894</v>
      </c>
      <c r="K24" s="2">
        <f t="shared" si="28"/>
        <v>205</v>
      </c>
      <c r="L24" s="2">
        <f t="shared" si="24"/>
        <v>205.44714060622832</v>
      </c>
      <c r="M24" s="2">
        <f t="shared" si="29"/>
        <v>15.132238867771312</v>
      </c>
      <c r="N24" s="2">
        <f t="shared" si="30"/>
        <v>86.219158822541075</v>
      </c>
      <c r="P24" s="4">
        <f t="shared" si="9"/>
        <v>0.60965710425700559</v>
      </c>
      <c r="Q24" s="4">
        <f t="shared" si="10"/>
        <v>0.70244977411589959</v>
      </c>
      <c r="R24" s="4">
        <f t="shared" si="11"/>
        <v>3.4191265550989332E-3</v>
      </c>
      <c r="S24" s="4">
        <f t="shared" si="25"/>
        <v>0.69773429150399779</v>
      </c>
      <c r="T24" s="2">
        <f t="shared" si="26"/>
        <v>275.33348431179843</v>
      </c>
      <c r="U24" s="6">
        <f t="shared" si="12"/>
        <v>0.52063233591333413</v>
      </c>
      <c r="V24" s="4">
        <f t="shared" si="13"/>
        <v>0.85397567301021327</v>
      </c>
      <c r="W24" s="4">
        <f t="shared" si="14"/>
        <v>0.98973977406275848</v>
      </c>
      <c r="X24" s="3">
        <f t="shared" si="15"/>
        <v>37.713035937621818</v>
      </c>
      <c r="Y24" s="8">
        <f t="shared" si="31"/>
        <v>37.630956285882206</v>
      </c>
      <c r="Z24" s="3">
        <f t="shared" si="32"/>
        <v>2.4868069169875944</v>
      </c>
      <c r="AA24" s="3">
        <f t="shared" si="18"/>
        <v>7748.0353969643311</v>
      </c>
      <c r="AB24" s="3"/>
      <c r="AC24" s="3"/>
      <c r="AD24" s="3"/>
    </row>
    <row r="25" spans="1:30" hidden="1">
      <c r="A25" s="7">
        <f t="shared" si="34"/>
        <v>490</v>
      </c>
      <c r="B25" s="3">
        <f t="shared" si="34"/>
        <v>-26.70513</v>
      </c>
      <c r="D25" s="1">
        <f t="shared" si="33"/>
        <v>19</v>
      </c>
      <c r="E25" s="2">
        <f t="shared" si="35"/>
        <v>10</v>
      </c>
      <c r="F25" s="2">
        <f t="shared" si="35"/>
        <v>12.232620000000001</v>
      </c>
      <c r="G25" s="2">
        <f t="shared" si="4"/>
        <v>8.6497685536781841</v>
      </c>
      <c r="H25" s="2">
        <f t="shared" si="27"/>
        <v>-13.157894736842106</v>
      </c>
      <c r="I25" s="2">
        <f t="shared" si="22"/>
        <v>195</v>
      </c>
      <c r="J25" s="20">
        <f t="shared" si="23"/>
        <v>13.547235263157894</v>
      </c>
      <c r="K25" s="2">
        <f t="shared" si="28"/>
        <v>195</v>
      </c>
      <c r="L25" s="2">
        <f t="shared" si="24"/>
        <v>195.47001709539842</v>
      </c>
      <c r="M25" s="2">
        <f t="shared" si="29"/>
        <v>14.394080874221492</v>
      </c>
      <c r="N25" s="2">
        <f t="shared" si="30"/>
        <v>86.025875725033742</v>
      </c>
      <c r="P25" s="4">
        <f t="shared" si="9"/>
        <v>0.61008515493762017</v>
      </c>
      <c r="Q25" s="4">
        <f t="shared" si="10"/>
        <v>0.70340840859735687</v>
      </c>
      <c r="R25" s="4">
        <f t="shared" si="11"/>
        <v>3.5985488672365595E-3</v>
      </c>
      <c r="S25" s="4">
        <f t="shared" si="25"/>
        <v>0.69773429150399779</v>
      </c>
      <c r="T25" s="2">
        <f t="shared" si="26"/>
        <v>275.33348431179843</v>
      </c>
      <c r="U25" s="6">
        <f t="shared" si="12"/>
        <v>0.49534888293456947</v>
      </c>
      <c r="V25" s="4">
        <f t="shared" si="13"/>
        <v>0.81193400450010589</v>
      </c>
      <c r="W25" s="4">
        <f t="shared" si="14"/>
        <v>0.98453119116005339</v>
      </c>
      <c r="X25" s="3">
        <f t="shared" si="15"/>
        <v>37.510289443860877</v>
      </c>
      <c r="Y25" s="8">
        <f t="shared" si="31"/>
        <v>37.420094141512521</v>
      </c>
      <c r="Z25" s="3">
        <f t="shared" si="32"/>
        <v>2.5996862507927587</v>
      </c>
      <c r="AA25" s="3">
        <f t="shared" si="18"/>
        <v>7332.1369188448289</v>
      </c>
      <c r="AB25" s="3"/>
      <c r="AC25" s="3"/>
      <c r="AD25" s="3"/>
    </row>
    <row r="26" spans="1:30" hidden="1">
      <c r="A26" s="7">
        <f t="shared" si="34"/>
        <v>490</v>
      </c>
      <c r="B26" s="3">
        <f t="shared" si="34"/>
        <v>-26.70513</v>
      </c>
      <c r="D26" s="1">
        <f t="shared" si="33"/>
        <v>20</v>
      </c>
      <c r="E26" s="2">
        <f t="shared" si="35"/>
        <v>10</v>
      </c>
      <c r="F26" s="2">
        <f t="shared" si="35"/>
        <v>12.232620000000001</v>
      </c>
      <c r="G26" s="2">
        <f t="shared" si="4"/>
        <v>8.6497685536781841</v>
      </c>
      <c r="H26" s="2">
        <f t="shared" si="27"/>
        <v>-13.157894736842106</v>
      </c>
      <c r="I26" s="2">
        <f t="shared" si="22"/>
        <v>185</v>
      </c>
      <c r="J26" s="20">
        <f t="shared" si="23"/>
        <v>13.547235263157894</v>
      </c>
      <c r="K26" s="2">
        <f t="shared" si="28"/>
        <v>185</v>
      </c>
      <c r="L26" s="2">
        <f t="shared" si="24"/>
        <v>185.4953573092204</v>
      </c>
      <c r="M26" s="2">
        <f t="shared" si="29"/>
        <v>13.655922880671671</v>
      </c>
      <c r="N26" s="2">
        <f t="shared" si="30"/>
        <v>85.811803106938768</v>
      </c>
      <c r="P26" s="4">
        <f t="shared" si="9"/>
        <v>0.61056069710069527</v>
      </c>
      <c r="Q26" s="4">
        <f t="shared" si="10"/>
        <v>0.70447403864296809</v>
      </c>
      <c r="R26" s="4">
        <f t="shared" si="11"/>
        <v>3.7977987636025373E-3</v>
      </c>
      <c r="S26" s="4">
        <f t="shared" si="25"/>
        <v>0.69773429150399779</v>
      </c>
      <c r="T26" s="2">
        <f t="shared" si="26"/>
        <v>275.33348431179843</v>
      </c>
      <c r="U26" s="6">
        <f t="shared" si="12"/>
        <v>0.47007167338521821</v>
      </c>
      <c r="V26" s="4">
        <f t="shared" si="13"/>
        <v>0.76990162586192923</v>
      </c>
      <c r="W26" s="4">
        <f t="shared" si="14"/>
        <v>0.97825552346735145</v>
      </c>
      <c r="X26" s="3">
        <f t="shared" si="15"/>
        <v>37.266233706200609</v>
      </c>
      <c r="Y26" s="8">
        <f t="shared" si="31"/>
        <v>37.166715844830584</v>
      </c>
      <c r="Z26" s="3">
        <f t="shared" si="32"/>
        <v>2.7216553703181616</v>
      </c>
      <c r="AA26" s="3">
        <f t="shared" si="18"/>
        <v>6912.7133369005942</v>
      </c>
      <c r="AB26" s="3"/>
      <c r="AC26" s="3"/>
      <c r="AD26" s="3"/>
    </row>
    <row r="27" spans="1:30" hidden="1">
      <c r="A27" s="7">
        <f t="shared" si="34"/>
        <v>490</v>
      </c>
      <c r="B27" s="3">
        <f t="shared" si="34"/>
        <v>-26.70513</v>
      </c>
      <c r="D27" s="1">
        <f t="shared" si="33"/>
        <v>21</v>
      </c>
      <c r="E27" s="2">
        <f t="shared" si="35"/>
        <v>10</v>
      </c>
      <c r="F27" s="2">
        <f t="shared" si="35"/>
        <v>12.232620000000001</v>
      </c>
      <c r="G27" s="2">
        <f t="shared" si="4"/>
        <v>8.6497685536781841</v>
      </c>
      <c r="H27" s="2">
        <f t="shared" si="27"/>
        <v>-13.157894736842106</v>
      </c>
      <c r="I27" s="2">
        <f t="shared" si="22"/>
        <v>175</v>
      </c>
      <c r="J27" s="20">
        <f t="shared" si="23"/>
        <v>13.547235263157894</v>
      </c>
      <c r="K27" s="2">
        <f t="shared" si="28"/>
        <v>175</v>
      </c>
      <c r="L27" s="2">
        <f t="shared" si="24"/>
        <v>175.52358127407084</v>
      </c>
      <c r="M27" s="2">
        <f t="shared" si="29"/>
        <v>12.917764887121852</v>
      </c>
      <c r="N27" s="2">
        <f t="shared" si="30"/>
        <v>85.573403221296132</v>
      </c>
      <c r="P27" s="4">
        <f t="shared" si="9"/>
        <v>0.61109208430349982</v>
      </c>
      <c r="Q27" s="4">
        <f t="shared" si="10"/>
        <v>0.70566560261616817</v>
      </c>
      <c r="R27" s="4">
        <f t="shared" si="11"/>
        <v>4.0203464257848546E-3</v>
      </c>
      <c r="S27" s="4">
        <f t="shared" si="25"/>
        <v>0.69773429150399779</v>
      </c>
      <c r="T27" s="2">
        <f t="shared" si="26"/>
        <v>275.33348431179843</v>
      </c>
      <c r="U27" s="6">
        <f t="shared" si="12"/>
        <v>0.44480177167198337</v>
      </c>
      <c r="V27" s="4">
        <f t="shared" si="13"/>
        <v>0.7278801069383054</v>
      </c>
      <c r="W27" s="4">
        <f t="shared" si="14"/>
        <v>0.97086562017384404</v>
      </c>
      <c r="X27" s="3">
        <f t="shared" si="15"/>
        <v>36.978939826669937</v>
      </c>
      <c r="Y27" s="8">
        <f t="shared" si="31"/>
        <v>36.86863282240477</v>
      </c>
      <c r="Z27" s="3">
        <f t="shared" si="32"/>
        <v>2.8541031010062965</v>
      </c>
      <c r="AA27" s="3">
        <f t="shared" si="18"/>
        <v>6490.6759500954759</v>
      </c>
      <c r="AB27" s="3"/>
      <c r="AC27" s="3"/>
      <c r="AD27" s="3"/>
    </row>
    <row r="28" spans="1:30" hidden="1">
      <c r="A28" s="7">
        <f t="shared" si="34"/>
        <v>490</v>
      </c>
      <c r="B28" s="3">
        <f t="shared" si="34"/>
        <v>-26.70513</v>
      </c>
      <c r="D28" s="1">
        <f t="shared" si="33"/>
        <v>22</v>
      </c>
      <c r="E28" s="2">
        <f t="shared" si="35"/>
        <v>10</v>
      </c>
      <c r="F28" s="2">
        <f t="shared" si="35"/>
        <v>12.232620000000001</v>
      </c>
      <c r="G28" s="2">
        <f t="shared" si="4"/>
        <v>8.6497685536781841</v>
      </c>
      <c r="H28" s="2">
        <f t="shared" si="27"/>
        <v>-13.157894736842106</v>
      </c>
      <c r="I28" s="2">
        <f t="shared" si="22"/>
        <v>165</v>
      </c>
      <c r="J28" s="20">
        <f t="shared" si="23"/>
        <v>13.547235263157894</v>
      </c>
      <c r="K28" s="2">
        <f t="shared" si="28"/>
        <v>165</v>
      </c>
      <c r="L28" s="2">
        <f t="shared" si="24"/>
        <v>165.55521007589991</v>
      </c>
      <c r="M28" s="2">
        <f t="shared" si="29"/>
        <v>12.179606893572032</v>
      </c>
      <c r="N28" s="2">
        <f t="shared" si="30"/>
        <v>85.306289280644691</v>
      </c>
      <c r="P28" s="4">
        <f t="shared" si="9"/>
        <v>0.61168974738845283</v>
      </c>
      <c r="Q28" s="4">
        <f t="shared" si="10"/>
        <v>0.70700677950582669</v>
      </c>
      <c r="R28" s="4">
        <f t="shared" si="11"/>
        <v>4.2705196603700637E-3</v>
      </c>
      <c r="S28" s="4">
        <f t="shared" si="25"/>
        <v>0.69773429150399779</v>
      </c>
      <c r="T28" s="2">
        <f t="shared" si="26"/>
        <v>275.33348431179843</v>
      </c>
      <c r="U28" s="6">
        <f t="shared" si="12"/>
        <v>0.41954049830093121</v>
      </c>
      <c r="V28" s="4">
        <f t="shared" si="13"/>
        <v>0.6858713916525766</v>
      </c>
      <c r="W28" s="4">
        <f t="shared" si="14"/>
        <v>0.96230320993163931</v>
      </c>
      <c r="X28" s="3">
        <f t="shared" si="15"/>
        <v>36.646017207856133</v>
      </c>
      <c r="Y28" s="8">
        <f t="shared" si="31"/>
        <v>36.523120211826381</v>
      </c>
      <c r="Z28" s="3">
        <f t="shared" si="32"/>
        <v>2.9987109215406549</v>
      </c>
      <c r="AA28" s="3">
        <f t="shared" si="18"/>
        <v>6066.9390772916649</v>
      </c>
      <c r="AB28" s="3"/>
      <c r="AC28" s="3"/>
      <c r="AD28" s="3"/>
    </row>
    <row r="29" spans="1:30" hidden="1">
      <c r="A29" s="7">
        <f t="shared" si="34"/>
        <v>490</v>
      </c>
      <c r="B29" s="3">
        <f t="shared" si="34"/>
        <v>-26.70513</v>
      </c>
      <c r="D29" s="1">
        <f t="shared" si="33"/>
        <v>23</v>
      </c>
      <c r="E29" s="2">
        <f t="shared" si="35"/>
        <v>10</v>
      </c>
      <c r="F29" s="2">
        <f t="shared" si="35"/>
        <v>12.232620000000001</v>
      </c>
      <c r="G29" s="2">
        <f t="shared" si="4"/>
        <v>8.6497685536781841</v>
      </c>
      <c r="H29" s="2">
        <f t="shared" si="27"/>
        <v>-13.157894736842106</v>
      </c>
      <c r="I29" s="2">
        <f t="shared" si="22"/>
        <v>155</v>
      </c>
      <c r="J29" s="20">
        <f t="shared" si="23"/>
        <v>13.547235263157894</v>
      </c>
      <c r="K29" s="2">
        <f t="shared" si="28"/>
        <v>155</v>
      </c>
      <c r="L29" s="2">
        <f t="shared" si="24"/>
        <v>155.59089813763319</v>
      </c>
      <c r="M29" s="2">
        <f t="shared" si="29"/>
        <v>11.441448900022211</v>
      </c>
      <c r="N29" s="2">
        <f t="shared" si="30"/>
        <v>85.004955190183338</v>
      </c>
      <c r="P29" s="4">
        <f t="shared" si="9"/>
        <v>0.61236688157451058</v>
      </c>
      <c r="Q29" s="4">
        <f t="shared" si="10"/>
        <v>0.70852756796534322</v>
      </c>
      <c r="R29" s="4">
        <f t="shared" si="11"/>
        <v>4.5537854491886232E-3</v>
      </c>
      <c r="S29" s="4">
        <f t="shared" si="25"/>
        <v>0.69773429150399779</v>
      </c>
      <c r="T29" s="2">
        <f t="shared" si="26"/>
        <v>275.33348431179843</v>
      </c>
      <c r="U29" s="6">
        <f t="shared" si="12"/>
        <v>0.3942895116730275</v>
      </c>
      <c r="V29" s="4">
        <f t="shared" si="13"/>
        <v>0.64387791622439627</v>
      </c>
      <c r="W29" s="4">
        <f t="shared" si="14"/>
        <v>0.95249686511771403</v>
      </c>
      <c r="X29" s="3">
        <f t="shared" si="15"/>
        <v>36.264522012443528</v>
      </c>
      <c r="Y29" s="8">
        <f t="shared" si="31"/>
        <v>36.126797770371503</v>
      </c>
      <c r="Z29" s="3">
        <f t="shared" si="32"/>
        <v>3.1575369593532345</v>
      </c>
      <c r="AA29" s="3">
        <f t="shared" si="18"/>
        <v>5642.4295504480579</v>
      </c>
      <c r="AB29" s="3"/>
      <c r="AC29" s="3"/>
      <c r="AD29" s="3"/>
    </row>
    <row r="30" spans="1:30" hidden="1">
      <c r="A30" s="7">
        <f t="shared" si="34"/>
        <v>490</v>
      </c>
      <c r="B30" s="3">
        <f t="shared" si="34"/>
        <v>-26.70513</v>
      </c>
      <c r="D30" s="1">
        <f t="shared" si="33"/>
        <v>24</v>
      </c>
      <c r="E30" s="2">
        <f t="shared" si="35"/>
        <v>10</v>
      </c>
      <c r="F30" s="2">
        <f t="shared" si="35"/>
        <v>12.232620000000001</v>
      </c>
      <c r="G30" s="2">
        <f t="shared" si="4"/>
        <v>8.6497685536781841</v>
      </c>
      <c r="H30" s="2">
        <f t="shared" si="27"/>
        <v>-13.157894736842106</v>
      </c>
      <c r="I30" s="2">
        <f t="shared" si="22"/>
        <v>145</v>
      </c>
      <c r="J30" s="20">
        <f t="shared" si="23"/>
        <v>13.547235263157894</v>
      </c>
      <c r="K30" s="2">
        <f t="shared" si="28"/>
        <v>145</v>
      </c>
      <c r="L30" s="2">
        <f t="shared" si="24"/>
        <v>145.63147868258204</v>
      </c>
      <c r="M30" s="2">
        <f t="shared" si="29"/>
        <v>10.703290906472391</v>
      </c>
      <c r="N30" s="2">
        <f t="shared" si="30"/>
        <v>84.662395351245593</v>
      </c>
      <c r="P30" s="4">
        <f t="shared" si="9"/>
        <v>0.61314042492240106</v>
      </c>
      <c r="Q30" s="4">
        <f t="shared" si="10"/>
        <v>0.71026653998209877</v>
      </c>
      <c r="R30" s="4">
        <f t="shared" si="11"/>
        <v>4.8771498195812023E-3</v>
      </c>
      <c r="S30" s="4">
        <f t="shared" si="25"/>
        <v>0.69773429150399779</v>
      </c>
      <c r="T30" s="2">
        <f t="shared" si="26"/>
        <v>275.33348431179843</v>
      </c>
      <c r="U30" s="6">
        <f t="shared" si="12"/>
        <v>0.36905092329489947</v>
      </c>
      <c r="V30" s="4">
        <f t="shared" si="13"/>
        <v>0.60190277511323198</v>
      </c>
      <c r="W30" s="4">
        <f t="shared" si="14"/>
        <v>0.94135929486345626</v>
      </c>
      <c r="X30" s="3">
        <f t="shared" si="15"/>
        <v>35.830833585684786</v>
      </c>
      <c r="Y30" s="8">
        <f t="shared" si="31"/>
        <v>35.675466025091509</v>
      </c>
      <c r="Z30" s="3">
        <f t="shared" si="32"/>
        <v>3.3331305611359463</v>
      </c>
      <c r="AA30" s="3">
        <f t="shared" si="18"/>
        <v>5218.0972775127984</v>
      </c>
      <c r="AB30" s="3"/>
      <c r="AC30" s="3"/>
      <c r="AD30" s="3"/>
    </row>
    <row r="31" spans="1:30" hidden="1">
      <c r="A31" s="7">
        <f t="shared" si="34"/>
        <v>490</v>
      </c>
      <c r="B31" s="3">
        <f t="shared" si="34"/>
        <v>-26.70513</v>
      </c>
      <c r="D31" s="1">
        <f t="shared" si="33"/>
        <v>25</v>
      </c>
      <c r="E31" s="2">
        <f t="shared" si="35"/>
        <v>10</v>
      </c>
      <c r="F31" s="2">
        <f t="shared" si="35"/>
        <v>12.232620000000001</v>
      </c>
      <c r="G31" s="2">
        <f t="shared" si="4"/>
        <v>8.6497685536781841</v>
      </c>
      <c r="H31" s="2">
        <f t="shared" si="27"/>
        <v>-13.157894736842106</v>
      </c>
      <c r="I31" s="2">
        <f t="shared" si="22"/>
        <v>135</v>
      </c>
      <c r="J31" s="20">
        <f t="shared" si="23"/>
        <v>13.547235263157894</v>
      </c>
      <c r="K31" s="2">
        <f t="shared" si="28"/>
        <v>135</v>
      </c>
      <c r="L31" s="2">
        <f t="shared" si="24"/>
        <v>135.67802911037347</v>
      </c>
      <c r="M31" s="2">
        <f t="shared" si="29"/>
        <v>9.9651329129225719</v>
      </c>
      <c r="N31" s="2">
        <f t="shared" si="30"/>
        <v>84.26955877037058</v>
      </c>
      <c r="P31" s="4">
        <f t="shared" si="9"/>
        <v>0.61403248289932699</v>
      </c>
      <c r="Q31" s="4">
        <f t="shared" si="10"/>
        <v>0.71227413029348274</v>
      </c>
      <c r="R31" s="4">
        <f t="shared" si="11"/>
        <v>5.2497381850531667E-3</v>
      </c>
      <c r="S31" s="4">
        <f t="shared" si="25"/>
        <v>0.69773429150399779</v>
      </c>
      <c r="T31" s="2">
        <f t="shared" si="26"/>
        <v>275.33348431179843</v>
      </c>
      <c r="U31" s="6">
        <f t="shared" si="12"/>
        <v>0.34382746345075976</v>
      </c>
      <c r="V31" s="4">
        <f t="shared" si="13"/>
        <v>0.55994995871762632</v>
      </c>
      <c r="W31" s="4">
        <f t="shared" si="14"/>
        <v>0.92878371884744815</v>
      </c>
      <c r="X31" s="3">
        <f t="shared" si="15"/>
        <v>35.340485718702929</v>
      </c>
      <c r="Y31" s="8">
        <f t="shared" si="31"/>
        <v>35.163877330085157</v>
      </c>
      <c r="Z31" s="3">
        <f t="shared" si="32"/>
        <v>3.5286912515221429</v>
      </c>
      <c r="AA31" s="3">
        <f t="shared" si="18"/>
        <v>4794.9274501169139</v>
      </c>
      <c r="AB31" s="3"/>
      <c r="AC31" s="3"/>
      <c r="AD31" s="3"/>
    </row>
    <row r="32" spans="1:30" hidden="1">
      <c r="A32" s="7">
        <f t="shared" si="34"/>
        <v>490</v>
      </c>
      <c r="B32" s="3">
        <f t="shared" si="34"/>
        <v>-26.70513</v>
      </c>
      <c r="D32" s="1">
        <f t="shared" si="33"/>
        <v>26</v>
      </c>
      <c r="E32" s="2">
        <f t="shared" si="35"/>
        <v>10</v>
      </c>
      <c r="F32" s="2">
        <f t="shared" si="35"/>
        <v>12.232620000000001</v>
      </c>
      <c r="G32" s="2">
        <f t="shared" si="4"/>
        <v>8.6497685536781841</v>
      </c>
      <c r="H32" s="2">
        <f t="shared" si="27"/>
        <v>-13.157894736842106</v>
      </c>
      <c r="I32" s="2">
        <f t="shared" si="22"/>
        <v>125</v>
      </c>
      <c r="J32" s="20">
        <f t="shared" si="23"/>
        <v>13.547235263157894</v>
      </c>
      <c r="K32" s="2">
        <f t="shared" si="28"/>
        <v>125</v>
      </c>
      <c r="L32" s="2">
        <f t="shared" si="24"/>
        <v>125.73196722900406</v>
      </c>
      <c r="M32" s="2">
        <f t="shared" si="29"/>
        <v>9.2269749193727506</v>
      </c>
      <c r="N32" s="2">
        <f t="shared" si="30"/>
        <v>83.814546997900209</v>
      </c>
      <c r="P32" s="4">
        <f t="shared" si="9"/>
        <v>0.61507245508503994</v>
      </c>
      <c r="Q32" s="4">
        <f t="shared" si="10"/>
        <v>0.71461756117708686</v>
      </c>
      <c r="R32" s="4">
        <f t="shared" si="11"/>
        <v>5.6836584754576059E-3</v>
      </c>
      <c r="S32" s="4">
        <f t="shared" si="25"/>
        <v>0.69773429150399779</v>
      </c>
      <c r="T32" s="2">
        <f t="shared" si="26"/>
        <v>275.33348431179843</v>
      </c>
      <c r="U32" s="6">
        <f t="shared" si="12"/>
        <v>0.31862272506814665</v>
      </c>
      <c r="V32" s="4">
        <f t="shared" si="13"/>
        <v>0.51802470169810133</v>
      </c>
      <c r="W32" s="4">
        <f t="shared" si="14"/>
        <v>0.91463895318791544</v>
      </c>
      <c r="X32" s="3">
        <f t="shared" si="15"/>
        <v>34.787932498027224</v>
      </c>
      <c r="Y32" s="8">
        <f t="shared" si="31"/>
        <v>34.585409407722096</v>
      </c>
      <c r="Z32" s="3">
        <f t="shared" si="32"/>
        <v>3.7482934233523642</v>
      </c>
      <c r="AA32" s="3">
        <f t="shared" si="18"/>
        <v>4373.9551888067645</v>
      </c>
      <c r="AB32" s="3"/>
      <c r="AC32" s="3"/>
      <c r="AD32" s="3"/>
    </row>
    <row r="33" spans="1:30" hidden="1">
      <c r="A33" s="7">
        <f t="shared" ref="A33:A44" si="36">A32</f>
        <v>490</v>
      </c>
      <c r="B33" s="3">
        <f t="shared" ref="B33:B44" si="37">B32</f>
        <v>-26.70513</v>
      </c>
      <c r="D33" s="1">
        <f t="shared" si="33"/>
        <v>27</v>
      </c>
      <c r="E33" s="2">
        <f t="shared" ref="E33:E44" si="38">E32</f>
        <v>10</v>
      </c>
      <c r="F33" s="2">
        <f t="shared" ref="F33:F44" si="39">F32</f>
        <v>12.232620000000001</v>
      </c>
      <c r="G33" s="2">
        <f>F33/SQRT(2)</f>
        <v>8.6497685536781841</v>
      </c>
      <c r="H33" s="2">
        <f t="shared" si="27"/>
        <v>-13.157894736842106</v>
      </c>
      <c r="I33" s="2">
        <f t="shared" si="22"/>
        <v>115</v>
      </c>
      <c r="J33" s="20">
        <f>H33-B33</f>
        <v>13.547235263157894</v>
      </c>
      <c r="K33" s="2">
        <f>I33</f>
        <v>115</v>
      </c>
      <c r="L33" s="2">
        <f>SQRT(J33^2+K33^2)</f>
        <v>115.79519671936029</v>
      </c>
      <c r="M33" s="2">
        <f>IF(J33=0,"infinity",ABS(K33/J33))</f>
        <v>8.4888169258229311</v>
      </c>
      <c r="N33" s="2">
        <f>IF(J33=0,90,ATAN(M33)*180/PI())</f>
        <v>83.281404482121161</v>
      </c>
      <c r="P33" s="4">
        <f>0.209 * (N33+2)^-0.32 * F33</f>
        <v>0.61630030240012601</v>
      </c>
      <c r="Q33" s="4">
        <f>MIN(1.087*(N33+6)^-0.65 * F33, 0.17*F33)</f>
        <v>0.71738843329042967</v>
      </c>
      <c r="R33" s="4">
        <f>Q33/L33</f>
        <v>6.1953211671558605E-3</v>
      </c>
      <c r="S33" s="4">
        <f t="shared" si="25"/>
        <v>0.69773429150399779</v>
      </c>
      <c r="T33" s="2">
        <f t="shared" si="26"/>
        <v>275.33348431179843</v>
      </c>
      <c r="U33" s="6">
        <f>S33*L33/T33</f>
        <v>0.29344153234575093</v>
      </c>
      <c r="V33" s="4">
        <f>U33/P33</f>
        <v>0.47613400675444961</v>
      </c>
      <c r="W33" s="4">
        <f>POWER(V33*(1.9-0.9*V33),0.3)</f>
        <v>0.89876264929095151</v>
      </c>
      <c r="X33" s="3">
        <f>0.6*A33*G33*E33*(1+0.5*SIN(N33*PI()/180)^1.5)*W33/1000</f>
        <v>34.166216587064106</v>
      </c>
      <c r="Y33" s="8">
        <f>X33*SIN(N33*PI()/180)</f>
        <v>33.931588000449821</v>
      </c>
      <c r="Z33" s="3">
        <f>X33*COS(N33*PI()/180)</f>
        <v>3.9972104825620902</v>
      </c>
      <c r="AA33" s="3">
        <f>L33*X33</f>
        <v>3956.2837708553589</v>
      </c>
      <c r="AB33" s="3"/>
      <c r="AC33" s="3"/>
      <c r="AD33" s="3"/>
    </row>
    <row r="34" spans="1:30" hidden="1">
      <c r="A34" s="7">
        <f t="shared" si="36"/>
        <v>490</v>
      </c>
      <c r="B34" s="3">
        <f t="shared" si="37"/>
        <v>-26.70513</v>
      </c>
      <c r="D34" s="1">
        <f t="shared" si="33"/>
        <v>28</v>
      </c>
      <c r="E34" s="2">
        <f t="shared" si="38"/>
        <v>10</v>
      </c>
      <c r="F34" s="2">
        <f t="shared" si="39"/>
        <v>12.232620000000001</v>
      </c>
      <c r="G34" s="2">
        <f>F34/SQRT(2)</f>
        <v>8.6497685536781841</v>
      </c>
      <c r="H34" s="2">
        <f t="shared" si="27"/>
        <v>-13.157894736842106</v>
      </c>
      <c r="I34" s="2">
        <f t="shared" si="22"/>
        <v>105</v>
      </c>
      <c r="J34" s="20">
        <f>H34-B34</f>
        <v>13.547235263157894</v>
      </c>
      <c r="K34" s="2">
        <f>I34</f>
        <v>105</v>
      </c>
      <c r="L34" s="2">
        <f>SQRT(J34^2+K34^2)</f>
        <v>105.8703338205531</v>
      </c>
      <c r="M34" s="2">
        <f>IF(J34=0,"infinity",ABS(K34/J34))</f>
        <v>7.7506589322731108</v>
      </c>
      <c r="N34" s="2">
        <f>IF(J34=0,90,ATAN(M34)*180/PI())</f>
        <v>82.648238873574741</v>
      </c>
      <c r="P34" s="4">
        <f>0.209 * (N34+2)^-0.32 * F34</f>
        <v>0.61777173531195595</v>
      </c>
      <c r="Q34" s="4">
        <f>MIN(1.087*(N34+6)^-0.65 * F34, 0.17*F34)</f>
        <v>0.7207148258069862</v>
      </c>
      <c r="R34" s="4">
        <f>Q34/L34</f>
        <v>6.807523881322366E-3</v>
      </c>
      <c r="S34" s="4">
        <f t="shared" si="25"/>
        <v>0.69773429150399779</v>
      </c>
      <c r="T34" s="2">
        <f t="shared" si="26"/>
        <v>275.33348431179843</v>
      </c>
      <c r="U34" s="6">
        <f>S34*L34/T34</f>
        <v>0.2682905152063626</v>
      </c>
      <c r="V34" s="4">
        <f>U34/P34</f>
        <v>0.4342874558203671</v>
      </c>
      <c r="W34" s="4">
        <f>POWER(V34*(1.9-0.9*V34),0.3)</f>
        <v>0.88095181768569686</v>
      </c>
      <c r="X34" s="3">
        <f>0.6*A34*G34*E34*(1+0.5*SIN(N34*PI()/180)^1.5)*W34/1000</f>
        <v>33.466487172246659</v>
      </c>
      <c r="Y34" s="8">
        <f>X34*SIN(N34*PI()/180)</f>
        <v>33.191367461275668</v>
      </c>
      <c r="Z34" s="3">
        <f>X34*COS(N34*PI()/180)</f>
        <v>4.2823929876554772</v>
      </c>
      <c r="AA34" s="3">
        <f>L34*X34</f>
        <v>3543.1081687270121</v>
      </c>
      <c r="AB34" s="3"/>
      <c r="AC34" s="3"/>
      <c r="AD34" s="3"/>
    </row>
    <row r="35" spans="1:30" hidden="1">
      <c r="A35" s="7">
        <f t="shared" si="36"/>
        <v>490</v>
      </c>
      <c r="B35" s="3">
        <f t="shared" si="37"/>
        <v>-26.70513</v>
      </c>
      <c r="D35" s="1">
        <f t="shared" si="33"/>
        <v>29</v>
      </c>
      <c r="E35" s="2">
        <f t="shared" si="38"/>
        <v>10</v>
      </c>
      <c r="F35" s="2">
        <f t="shared" si="39"/>
        <v>12.232620000000001</v>
      </c>
      <c r="G35" s="2">
        <f>F35/SQRT(2)</f>
        <v>8.6497685536781841</v>
      </c>
      <c r="H35" s="2">
        <f t="shared" si="27"/>
        <v>-13.157894736842106</v>
      </c>
      <c r="I35" s="2">
        <f t="shared" si="22"/>
        <v>95</v>
      </c>
      <c r="J35" s="20">
        <f>H35-B35</f>
        <v>13.547235263157894</v>
      </c>
      <c r="K35" s="2">
        <f>I35</f>
        <v>95</v>
      </c>
      <c r="L35" s="2">
        <f>SQRT(J35^2+K35^2)</f>
        <v>95.961073270755719</v>
      </c>
      <c r="M35" s="2">
        <f>IF(J35=0,"infinity",ABS(K35/J35))</f>
        <v>7.0125009387232904</v>
      </c>
      <c r="N35" s="2">
        <f>IF(J35=0,90,ATAN(M35)*180/PI())</f>
        <v>81.884197639254708</v>
      </c>
      <c r="P35" s="4">
        <f>0.209 * (N35+2)^-0.32 * F35</f>
        <v>0.6195667767453491</v>
      </c>
      <c r="Q35" s="4">
        <f>MIN(1.087*(N35+6)^-0.65 * F35, 0.17*F35)</f>
        <v>0.72478135743152305</v>
      </c>
      <c r="R35" s="4">
        <f>Q35/L35</f>
        <v>7.5528683947348185E-3</v>
      </c>
      <c r="S35" s="4">
        <f t="shared" si="25"/>
        <v>0.69773429150399779</v>
      </c>
      <c r="T35" s="2">
        <f t="shared" si="26"/>
        <v>275.33348431179843</v>
      </c>
      <c r="U35" s="6">
        <f>S35*L35/T35</f>
        <v>0.24317903664310994</v>
      </c>
      <c r="V35" s="4">
        <f>U35/P35</f>
        <v>0.39249850987904089</v>
      </c>
      <c r="W35" s="4">
        <f>POWER(V35*(1.9-0.9*V35),0.3)</f>
        <v>0.86094925400209177</v>
      </c>
      <c r="X35" s="3">
        <f>0.6*A35*G35*E35*(1+0.5*SIN(N35*PI()/180)^1.5)*W35/1000</f>
        <v>32.677277547997129</v>
      </c>
      <c r="Y35" s="8">
        <f>X35*SIN(N35*PI()/180)</f>
        <v>32.350006739720158</v>
      </c>
      <c r="Z35" s="3">
        <f>X35*COS(N35*PI()/180)</f>
        <v>4.6131910743971929</v>
      </c>
      <c r="AA35" s="3">
        <f>L35*X35</f>
        <v>3135.7466250721732</v>
      </c>
      <c r="AB35" s="3"/>
      <c r="AC35" s="3"/>
      <c r="AD35" s="3"/>
    </row>
    <row r="36" spans="1:30" hidden="1">
      <c r="A36" s="7">
        <f t="shared" si="36"/>
        <v>490</v>
      </c>
      <c r="B36" s="3">
        <f t="shared" si="37"/>
        <v>-26.70513</v>
      </c>
      <c r="D36" s="1">
        <f t="shared" si="33"/>
        <v>30</v>
      </c>
      <c r="E36" s="2">
        <f t="shared" si="38"/>
        <v>10</v>
      </c>
      <c r="F36" s="2">
        <f t="shared" si="39"/>
        <v>12.232620000000001</v>
      </c>
      <c r="G36" s="2">
        <f t="shared" ref="G36:G44" si="40">F36/SQRT(2)</f>
        <v>8.6497685536781841</v>
      </c>
      <c r="H36" s="2">
        <f t="shared" si="27"/>
        <v>-13.157894736842106</v>
      </c>
      <c r="I36" s="2">
        <f t="shared" ref="I36:I44" si="41">E36*(MAX($D$17:$D$44)-D36+0.5)</f>
        <v>85</v>
      </c>
      <c r="J36" s="20">
        <f t="shared" ref="J36:J44" si="42">H36-B36</f>
        <v>13.547235263157894</v>
      </c>
      <c r="K36" s="2">
        <f t="shared" ref="K36:K44" si="43">I36</f>
        <v>85</v>
      </c>
      <c r="L36" s="2">
        <f t="shared" ref="L36:L44" si="44">SQRT(J36^2+K36^2)</f>
        <v>86.072803970100495</v>
      </c>
      <c r="M36" s="2">
        <f t="shared" ref="M36:M44" si="45">IF(J36=0,"infinity",ABS(K36/J36))</f>
        <v>6.2743429451734709</v>
      </c>
      <c r="N36" s="2">
        <f t="shared" ref="N36:N44" si="46">IF(J36=0,90,ATAN(M36)*180/PI())</f>
        <v>80.944405665689189</v>
      </c>
      <c r="P36" s="4">
        <f t="shared" ref="P36:P44" si="47">0.209 * (N36+2)^-0.32 * F36</f>
        <v>0.62180455490600617</v>
      </c>
      <c r="Q36" s="4">
        <f t="shared" ref="Q36:Q44" si="48">MIN(1.087*(N36+6)^-0.65 * F36, 0.17*F36)</f>
        <v>0.72986403020267843</v>
      </c>
      <c r="R36" s="4">
        <f t="shared" ref="R36:R44" si="49">Q36/L36</f>
        <v>8.4796125667779415E-3</v>
      </c>
      <c r="S36" s="4">
        <f t="shared" ref="S36:S44" si="50">INDEX($Q$3:$Q$44, MATCH(MIN($R$3:$R$44),$R$3:$R$44,0))</f>
        <v>0.69773429150399779</v>
      </c>
      <c r="T36" s="2">
        <f t="shared" ref="T36:T44" si="51">INDEX($L$3:$L$44, MATCH(MIN($R$3:$R$44),$R$3:$R$44,0))</f>
        <v>275.33348431179843</v>
      </c>
      <c r="U36" s="6">
        <f t="shared" ref="U36:U44" si="52">S36*L36/T36</f>
        <v>0.21812075289698818</v>
      </c>
      <c r="V36" s="4">
        <f t="shared" ref="V36:V44" si="53">U36/P36</f>
        <v>0.35078667593543111</v>
      </c>
      <c r="W36" s="4">
        <f t="shared" ref="W36:W44" si="54">POWER(V36*(1.9-0.9*V36),0.3)</f>
        <v>0.83842360082545719</v>
      </c>
      <c r="X36" s="3">
        <f t="shared" ref="X36:X44" si="55">0.6*A36*G36*E36*(1+0.5*SIN(N36*PI()/180)^1.5)*W36/1000</f>
        <v>31.78338159733751</v>
      </c>
      <c r="Y36" s="8">
        <f t="shared" ref="Y36:Y44" si="56">X36*SIN(N36*PI()/180)</f>
        <v>31.38723628327655</v>
      </c>
      <c r="Z36" s="3">
        <f t="shared" ref="Z36:Z44" si="57">X36*COS(N36*PI()/180)</f>
        <v>5.0024738139985088</v>
      </c>
      <c r="AA36" s="3">
        <f t="shared" ref="AA36:AA44" si="58">L36*X36</f>
        <v>2735.6847737345311</v>
      </c>
      <c r="AB36" s="3"/>
      <c r="AC36" s="3"/>
      <c r="AD36" s="3"/>
    </row>
    <row r="37" spans="1:30" hidden="1">
      <c r="A37" s="7">
        <f t="shared" si="36"/>
        <v>490</v>
      </c>
      <c r="B37" s="3">
        <f t="shared" si="37"/>
        <v>-26.70513</v>
      </c>
      <c r="D37" s="1">
        <f t="shared" si="33"/>
        <v>31</v>
      </c>
      <c r="E37" s="2">
        <f t="shared" si="38"/>
        <v>10</v>
      </c>
      <c r="F37" s="2">
        <f t="shared" si="39"/>
        <v>12.232620000000001</v>
      </c>
      <c r="G37" s="2">
        <f t="shared" si="40"/>
        <v>8.6497685536781841</v>
      </c>
      <c r="H37" s="2">
        <f t="shared" si="27"/>
        <v>-13.157894736842106</v>
      </c>
      <c r="I37" s="2">
        <f t="shared" si="41"/>
        <v>75</v>
      </c>
      <c r="J37" s="20">
        <f t="shared" si="42"/>
        <v>13.547235263157894</v>
      </c>
      <c r="K37" s="2">
        <f t="shared" si="43"/>
        <v>75</v>
      </c>
      <c r="L37" s="2">
        <f t="shared" si="44"/>
        <v>76.213696821997473</v>
      </c>
      <c r="M37" s="2">
        <f t="shared" si="45"/>
        <v>5.5361849516236505</v>
      </c>
      <c r="N37" s="2">
        <f t="shared" si="46"/>
        <v>79.761077502072368</v>
      </c>
      <c r="P37" s="4">
        <f t="shared" si="47"/>
        <v>0.62467029863474188</v>
      </c>
      <c r="Q37" s="4">
        <f t="shared" si="48"/>
        <v>0.73639423542278937</v>
      </c>
      <c r="R37" s="4">
        <f t="shared" si="49"/>
        <v>9.6622295745958982E-3</v>
      </c>
      <c r="S37" s="4">
        <f t="shared" si="50"/>
        <v>0.69773429150399779</v>
      </c>
      <c r="T37" s="2">
        <f t="shared" si="51"/>
        <v>275.33348431179843</v>
      </c>
      <c r="U37" s="6">
        <f t="shared" si="52"/>
        <v>0.19313637020180691</v>
      </c>
      <c r="V37" s="4">
        <f t="shared" si="53"/>
        <v>0.30918129231359193</v>
      </c>
      <c r="W37" s="4">
        <f t="shared" si="54"/>
        <v>0.81293922084441794</v>
      </c>
      <c r="X37" s="3">
        <f t="shared" si="55"/>
        <v>30.764026395665052</v>
      </c>
      <c r="Y37" s="8">
        <f t="shared" si="56"/>
        <v>30.274111818296216</v>
      </c>
      <c r="Z37" s="3">
        <f t="shared" si="57"/>
        <v>5.4684068691414369</v>
      </c>
      <c r="AA37" s="3">
        <f t="shared" si="58"/>
        <v>2344.6401807431439</v>
      </c>
      <c r="AB37" s="3"/>
      <c r="AC37" s="3"/>
      <c r="AD37" s="3"/>
    </row>
    <row r="38" spans="1:30" hidden="1">
      <c r="A38" s="7">
        <f t="shared" si="36"/>
        <v>490</v>
      </c>
      <c r="B38" s="3">
        <f t="shared" si="37"/>
        <v>-26.70513</v>
      </c>
      <c r="D38" s="1">
        <f t="shared" si="33"/>
        <v>32</v>
      </c>
      <c r="E38" s="2">
        <f t="shared" si="38"/>
        <v>10</v>
      </c>
      <c r="F38" s="2">
        <f t="shared" si="39"/>
        <v>12.232620000000001</v>
      </c>
      <c r="G38" s="2">
        <f t="shared" si="40"/>
        <v>8.6497685536781841</v>
      </c>
      <c r="H38" s="2">
        <f t="shared" si="27"/>
        <v>-13.157894736842106</v>
      </c>
      <c r="I38" s="2">
        <f t="shared" si="41"/>
        <v>65</v>
      </c>
      <c r="J38" s="20">
        <f t="shared" si="42"/>
        <v>13.547235263157894</v>
      </c>
      <c r="K38" s="2">
        <f t="shared" si="43"/>
        <v>65</v>
      </c>
      <c r="L38" s="2">
        <f t="shared" si="44"/>
        <v>66.396743770122853</v>
      </c>
      <c r="M38" s="2">
        <f t="shared" si="45"/>
        <v>4.7980269580738302</v>
      </c>
      <c r="N38" s="2">
        <f t="shared" si="46"/>
        <v>78.227006761509784</v>
      </c>
      <c r="P38" s="4">
        <f t="shared" si="47"/>
        <v>0.62846801879189396</v>
      </c>
      <c r="Q38" s="4">
        <f t="shared" si="48"/>
        <v>0.74508469114105524</v>
      </c>
      <c r="R38" s="4">
        <f t="shared" si="49"/>
        <v>1.1221705295076953E-2</v>
      </c>
      <c r="S38" s="4">
        <f t="shared" si="50"/>
        <v>0.69773429150399779</v>
      </c>
      <c r="T38" s="2">
        <f t="shared" si="51"/>
        <v>275.33348431179843</v>
      </c>
      <c r="U38" s="6">
        <f t="shared" si="52"/>
        <v>0.16825881199453502</v>
      </c>
      <c r="V38" s="4">
        <f t="shared" si="53"/>
        <v>0.26772851913448109</v>
      </c>
      <c r="W38" s="4">
        <f t="shared" si="54"/>
        <v>0.78390924832000741</v>
      </c>
      <c r="X38" s="3">
        <f t="shared" si="55"/>
        <v>29.589733547958797</v>
      </c>
      <c r="Y38" s="8">
        <f t="shared" si="56"/>
        <v>28.967274167483815</v>
      </c>
      <c r="Z38" s="3">
        <f t="shared" si="57"/>
        <v>6.0373304319892211</v>
      </c>
      <c r="AA38" s="3">
        <f t="shared" si="58"/>
        <v>1964.6619566100285</v>
      </c>
      <c r="AB38" s="3"/>
      <c r="AC38" s="3"/>
      <c r="AD38" s="3"/>
    </row>
    <row r="39" spans="1:30" hidden="1">
      <c r="A39" s="7">
        <f t="shared" si="36"/>
        <v>490</v>
      </c>
      <c r="B39" s="3">
        <f t="shared" si="37"/>
        <v>-26.70513</v>
      </c>
      <c r="D39" s="1">
        <f t="shared" si="33"/>
        <v>33</v>
      </c>
      <c r="E39" s="2">
        <f t="shared" si="38"/>
        <v>10</v>
      </c>
      <c r="F39" s="2">
        <f t="shared" si="39"/>
        <v>12.232620000000001</v>
      </c>
      <c r="G39" s="2">
        <f t="shared" si="40"/>
        <v>8.6497685536781841</v>
      </c>
      <c r="H39" s="2">
        <f t="shared" si="27"/>
        <v>-13.157894736842106</v>
      </c>
      <c r="I39" s="2">
        <f t="shared" si="41"/>
        <v>55</v>
      </c>
      <c r="J39" s="20">
        <f t="shared" si="42"/>
        <v>13.547235263157894</v>
      </c>
      <c r="K39" s="2">
        <f t="shared" si="43"/>
        <v>55</v>
      </c>
      <c r="L39" s="2">
        <f t="shared" si="44"/>
        <v>56.643866245828846</v>
      </c>
      <c r="M39" s="2">
        <f t="shared" si="45"/>
        <v>4.0598689645240107</v>
      </c>
      <c r="N39" s="2">
        <f t="shared" si="46"/>
        <v>76.162731560639486</v>
      </c>
      <c r="P39" s="4">
        <f t="shared" si="47"/>
        <v>0.63373232203315111</v>
      </c>
      <c r="Q39" s="4">
        <f t="shared" si="48"/>
        <v>0.7571995790798759</v>
      </c>
      <c r="R39" s="4">
        <f t="shared" si="49"/>
        <v>1.3367724155581183E-2</v>
      </c>
      <c r="S39" s="4">
        <f t="shared" si="50"/>
        <v>0.69773429150399779</v>
      </c>
      <c r="T39" s="2">
        <f t="shared" si="51"/>
        <v>275.33348431179843</v>
      </c>
      <c r="U39" s="6">
        <f t="shared" si="52"/>
        <v>0.14354363030659914</v>
      </c>
      <c r="V39" s="4">
        <f t="shared" si="53"/>
        <v>0.22650514312743267</v>
      </c>
      <c r="W39" s="4">
        <f t="shared" si="54"/>
        <v>0.75052012421771064</v>
      </c>
      <c r="X39" s="3">
        <f t="shared" si="55"/>
        <v>28.216557073114682</v>
      </c>
      <c r="Y39" s="8">
        <f t="shared" si="56"/>
        <v>27.397682077105522</v>
      </c>
      <c r="Z39" s="3">
        <f t="shared" si="57"/>
        <v>6.748415359340969</v>
      </c>
      <c r="AA39" s="3">
        <f t="shared" si="58"/>
        <v>1598.294884767304</v>
      </c>
      <c r="AB39" s="3"/>
      <c r="AC39" s="3"/>
      <c r="AD39" s="3"/>
    </row>
    <row r="40" spans="1:30" hidden="1">
      <c r="A40" s="7">
        <f t="shared" si="36"/>
        <v>490</v>
      </c>
      <c r="B40" s="3">
        <f t="shared" si="37"/>
        <v>-26.70513</v>
      </c>
      <c r="D40" s="1">
        <f t="shared" si="33"/>
        <v>34</v>
      </c>
      <c r="E40" s="2">
        <f t="shared" si="38"/>
        <v>10</v>
      </c>
      <c r="F40" s="2">
        <f t="shared" si="39"/>
        <v>12.232620000000001</v>
      </c>
      <c r="G40" s="2">
        <f t="shared" si="40"/>
        <v>8.6497685536781841</v>
      </c>
      <c r="H40" s="2">
        <f t="shared" si="27"/>
        <v>-13.157894736842106</v>
      </c>
      <c r="I40" s="2">
        <f t="shared" si="41"/>
        <v>45</v>
      </c>
      <c r="J40" s="20">
        <f t="shared" si="42"/>
        <v>13.547235263157894</v>
      </c>
      <c r="K40" s="2">
        <f t="shared" si="43"/>
        <v>45</v>
      </c>
      <c r="L40" s="2">
        <f t="shared" si="44"/>
        <v>46.994974021434977</v>
      </c>
      <c r="M40" s="2">
        <f t="shared" si="45"/>
        <v>3.3217109709741903</v>
      </c>
      <c r="N40" s="2">
        <f t="shared" si="46"/>
        <v>73.245595750967354</v>
      </c>
      <c r="P40" s="4">
        <f t="shared" si="47"/>
        <v>0.64149285526551747</v>
      </c>
      <c r="Q40" s="4">
        <f t="shared" si="48"/>
        <v>0.7752025476989175</v>
      </c>
      <c r="R40" s="4">
        <f t="shared" si="49"/>
        <v>1.6495435178777589E-2</v>
      </c>
      <c r="S40" s="4">
        <f t="shared" si="50"/>
        <v>0.69773429150399779</v>
      </c>
      <c r="T40" s="2">
        <f t="shared" si="51"/>
        <v>275.33348431179843</v>
      </c>
      <c r="U40" s="6">
        <f t="shared" si="52"/>
        <v>0.1190919621892484</v>
      </c>
      <c r="V40" s="4">
        <f t="shared" si="53"/>
        <v>0.18564815057831871</v>
      </c>
      <c r="W40" s="4">
        <f t="shared" si="54"/>
        <v>0.71160745885199861</v>
      </c>
      <c r="X40" s="3">
        <f t="shared" si="55"/>
        <v>26.574611042007763</v>
      </c>
      <c r="Y40" s="8">
        <f t="shared" si="56"/>
        <v>25.446497668982733</v>
      </c>
      <c r="Z40" s="3">
        <f t="shared" si="57"/>
        <v>7.66065978989129</v>
      </c>
      <c r="AA40" s="3">
        <f t="shared" si="58"/>
        <v>1248.8731555488939</v>
      </c>
      <c r="AB40" s="3"/>
      <c r="AC40" s="3"/>
      <c r="AD40" s="3"/>
    </row>
    <row r="41" spans="1:30" hidden="1">
      <c r="A41" s="7">
        <f t="shared" si="36"/>
        <v>490</v>
      </c>
      <c r="B41" s="3">
        <f t="shared" si="37"/>
        <v>-26.70513</v>
      </c>
      <c r="D41" s="1">
        <f t="shared" si="33"/>
        <v>35</v>
      </c>
      <c r="E41" s="2">
        <f t="shared" si="38"/>
        <v>10</v>
      </c>
      <c r="F41" s="2">
        <f t="shared" si="39"/>
        <v>12.232620000000001</v>
      </c>
      <c r="G41" s="2">
        <f t="shared" si="40"/>
        <v>8.6497685536781841</v>
      </c>
      <c r="H41" s="2">
        <f t="shared" si="27"/>
        <v>-13.157894736842106</v>
      </c>
      <c r="I41" s="2">
        <f t="shared" si="41"/>
        <v>35</v>
      </c>
      <c r="J41" s="20">
        <f t="shared" si="42"/>
        <v>13.547235263157894</v>
      </c>
      <c r="K41" s="2">
        <f t="shared" si="43"/>
        <v>35</v>
      </c>
      <c r="L41" s="2">
        <f t="shared" si="44"/>
        <v>37.530355490926922</v>
      </c>
      <c r="M41" s="2">
        <f t="shared" si="45"/>
        <v>2.5835529774243704</v>
      </c>
      <c r="N41" s="2">
        <f t="shared" si="46"/>
        <v>68.840380056334297</v>
      </c>
      <c r="P41" s="4">
        <f t="shared" si="47"/>
        <v>0.65399719934668754</v>
      </c>
      <c r="Q41" s="4">
        <f t="shared" si="48"/>
        <v>0.80456407935619689</v>
      </c>
      <c r="R41" s="4">
        <f t="shared" si="49"/>
        <v>2.1437688741069952E-2</v>
      </c>
      <c r="S41" s="4">
        <f t="shared" si="50"/>
        <v>0.69773429150399779</v>
      </c>
      <c r="T41" s="2">
        <f t="shared" si="51"/>
        <v>275.33348431179843</v>
      </c>
      <c r="U41" s="6">
        <f t="shared" si="52"/>
        <v>9.5107269876048839E-2</v>
      </c>
      <c r="V41" s="4">
        <f t="shared" si="53"/>
        <v>0.14542458281328502</v>
      </c>
      <c r="W41" s="4">
        <f t="shared" si="54"/>
        <v>0.66545451984785486</v>
      </c>
      <c r="X41" s="3">
        <f t="shared" si="55"/>
        <v>24.542954076059193</v>
      </c>
      <c r="Y41" s="8">
        <f t="shared" si="56"/>
        <v>22.888229579113322</v>
      </c>
      <c r="Z41" s="3">
        <f t="shared" si="57"/>
        <v>8.8592065961547881</v>
      </c>
      <c r="AA41" s="3">
        <f t="shared" si="58"/>
        <v>921.10579127199537</v>
      </c>
      <c r="AB41" s="3"/>
      <c r="AC41" s="3"/>
      <c r="AD41" s="3"/>
    </row>
    <row r="42" spans="1:30" hidden="1">
      <c r="A42" s="7">
        <f t="shared" si="36"/>
        <v>490</v>
      </c>
      <c r="B42" s="3">
        <f t="shared" si="37"/>
        <v>-26.70513</v>
      </c>
      <c r="D42" s="1">
        <f t="shared" si="33"/>
        <v>36</v>
      </c>
      <c r="E42" s="2">
        <f t="shared" si="38"/>
        <v>10</v>
      </c>
      <c r="F42" s="2">
        <f t="shared" si="39"/>
        <v>12.232620000000001</v>
      </c>
      <c r="G42" s="2">
        <f t="shared" si="40"/>
        <v>8.6497685536781841</v>
      </c>
      <c r="H42" s="2">
        <f t="shared" si="27"/>
        <v>-13.157894736842106</v>
      </c>
      <c r="I42" s="2">
        <f t="shared" si="41"/>
        <v>25</v>
      </c>
      <c r="J42" s="20">
        <f t="shared" si="42"/>
        <v>13.547235263157894</v>
      </c>
      <c r="K42" s="2">
        <f t="shared" si="43"/>
        <v>25</v>
      </c>
      <c r="L42" s="2">
        <f t="shared" si="44"/>
        <v>28.434619450158795</v>
      </c>
      <c r="M42" s="2">
        <f t="shared" si="45"/>
        <v>1.8453949838745503</v>
      </c>
      <c r="N42" s="2">
        <f t="shared" si="46"/>
        <v>61.547205081264792</v>
      </c>
      <c r="P42" s="4">
        <f t="shared" si="47"/>
        <v>0.67713444370259657</v>
      </c>
      <c r="Q42" s="4">
        <f t="shared" si="48"/>
        <v>0.86001144215449354</v>
      </c>
      <c r="R42" s="4">
        <f t="shared" si="49"/>
        <v>3.0245224264806917E-2</v>
      </c>
      <c r="S42" s="4">
        <f t="shared" si="50"/>
        <v>0.69773429150399779</v>
      </c>
      <c r="T42" s="2">
        <f t="shared" si="51"/>
        <v>275.33348431179843</v>
      </c>
      <c r="U42" s="6">
        <f t="shared" si="52"/>
        <v>7.2057378367300084E-2</v>
      </c>
      <c r="V42" s="4">
        <f t="shared" si="53"/>
        <v>0.1064151721086401</v>
      </c>
      <c r="W42" s="4">
        <f t="shared" si="54"/>
        <v>0.6095205767988866</v>
      </c>
      <c r="X42" s="3">
        <f t="shared" si="55"/>
        <v>21.889541183644745</v>
      </c>
      <c r="Y42" s="8">
        <f t="shared" si="56"/>
        <v>19.245502143974097</v>
      </c>
      <c r="Z42" s="3">
        <f t="shared" si="57"/>
        <v>10.42893381208107</v>
      </c>
      <c r="AA42" s="3">
        <f t="shared" si="58"/>
        <v>622.42077349551687</v>
      </c>
      <c r="AB42" s="3"/>
      <c r="AC42" s="3"/>
      <c r="AD42" s="3"/>
    </row>
    <row r="43" spans="1:30" hidden="1">
      <c r="A43" s="7">
        <f t="shared" si="36"/>
        <v>490</v>
      </c>
      <c r="B43" s="3">
        <f t="shared" si="37"/>
        <v>-26.70513</v>
      </c>
      <c r="D43" s="1">
        <f t="shared" si="33"/>
        <v>37</v>
      </c>
      <c r="E43" s="2">
        <f t="shared" si="38"/>
        <v>10</v>
      </c>
      <c r="F43" s="2">
        <f t="shared" si="39"/>
        <v>12.232620000000001</v>
      </c>
      <c r="G43" s="2">
        <f t="shared" si="40"/>
        <v>8.6497685536781841</v>
      </c>
      <c r="H43" s="2">
        <f t="shared" si="27"/>
        <v>-13.157894736842106</v>
      </c>
      <c r="I43" s="2">
        <f t="shared" si="41"/>
        <v>15</v>
      </c>
      <c r="J43" s="20">
        <f t="shared" si="42"/>
        <v>13.547235263157894</v>
      </c>
      <c r="K43" s="2">
        <f t="shared" si="43"/>
        <v>15</v>
      </c>
      <c r="L43" s="2">
        <f t="shared" si="44"/>
        <v>20.212065289706263</v>
      </c>
      <c r="M43" s="2">
        <f t="shared" si="45"/>
        <v>1.1072369903247301</v>
      </c>
      <c r="N43" s="2">
        <f t="shared" si="46"/>
        <v>47.913260894532577</v>
      </c>
      <c r="P43" s="4">
        <f t="shared" si="47"/>
        <v>0.73153762653395926</v>
      </c>
      <c r="Q43" s="4">
        <f t="shared" si="48"/>
        <v>0.995742143689063</v>
      </c>
      <c r="R43" s="4">
        <f t="shared" si="49"/>
        <v>4.9264740115211349E-2</v>
      </c>
      <c r="S43" s="4">
        <f t="shared" si="50"/>
        <v>0.69773429150399779</v>
      </c>
      <c r="T43" s="2">
        <f t="shared" si="51"/>
        <v>275.33348431179843</v>
      </c>
      <c r="U43" s="6">
        <f t="shared" si="52"/>
        <v>5.1220254194638201E-2</v>
      </c>
      <c r="V43" s="4">
        <f t="shared" si="53"/>
        <v>7.001725179512755E-2</v>
      </c>
      <c r="W43" s="4">
        <f t="shared" si="54"/>
        <v>0.54049684575388512</v>
      </c>
      <c r="X43" s="3">
        <f t="shared" si="55"/>
        <v>18.138762490931892</v>
      </c>
      <c r="Y43" s="8">
        <f t="shared" si="56"/>
        <v>13.461337743775539</v>
      </c>
      <c r="Z43" s="3">
        <f t="shared" si="57"/>
        <v>12.157593958116951</v>
      </c>
      <c r="AA43" s="3">
        <f t="shared" si="58"/>
        <v>366.62185174119043</v>
      </c>
      <c r="AB43" s="3"/>
      <c r="AC43" s="3"/>
      <c r="AD43" s="3"/>
    </row>
    <row r="44" spans="1:30" hidden="1">
      <c r="A44" s="7">
        <f t="shared" si="36"/>
        <v>490</v>
      </c>
      <c r="B44" s="3">
        <f t="shared" si="37"/>
        <v>-26.70513</v>
      </c>
      <c r="D44" s="1">
        <f t="shared" si="33"/>
        <v>38</v>
      </c>
      <c r="E44" s="2">
        <f t="shared" si="38"/>
        <v>10</v>
      </c>
      <c r="F44" s="2">
        <f t="shared" si="39"/>
        <v>12.232620000000001</v>
      </c>
      <c r="G44" s="2">
        <f t="shared" si="40"/>
        <v>8.6497685536781841</v>
      </c>
      <c r="H44" s="2">
        <f t="shared" si="27"/>
        <v>-13.157894736842106</v>
      </c>
      <c r="I44" s="2">
        <f t="shared" si="41"/>
        <v>5</v>
      </c>
      <c r="J44" s="20">
        <f t="shared" si="42"/>
        <v>13.547235263157894</v>
      </c>
      <c r="K44" s="2">
        <f t="shared" si="43"/>
        <v>5</v>
      </c>
      <c r="L44" s="2">
        <f t="shared" si="44"/>
        <v>14.440484177317211</v>
      </c>
      <c r="M44" s="2">
        <f t="shared" si="45"/>
        <v>0.36907899677491002</v>
      </c>
      <c r="N44" s="2">
        <f t="shared" si="46"/>
        <v>20.258044465599365</v>
      </c>
      <c r="P44" s="4">
        <f t="shared" si="47"/>
        <v>0.9472615930852919</v>
      </c>
      <c r="Q44" s="4">
        <f t="shared" si="48"/>
        <v>1.589382702703857</v>
      </c>
      <c r="R44" s="4">
        <f t="shared" si="49"/>
        <v>0.11006436371437071</v>
      </c>
      <c r="S44" s="4">
        <f t="shared" si="50"/>
        <v>0.69773429150399779</v>
      </c>
      <c r="T44" s="2">
        <f t="shared" si="51"/>
        <v>275.33348431179843</v>
      </c>
      <c r="U44" s="6">
        <f t="shared" si="52"/>
        <v>3.6594245053845634E-2</v>
      </c>
      <c r="V44" s="4">
        <f t="shared" si="53"/>
        <v>3.8631614879112562E-2</v>
      </c>
      <c r="W44" s="4">
        <f t="shared" si="54"/>
        <v>0.45425810461891103</v>
      </c>
      <c r="X44" s="3">
        <f t="shared" si="55"/>
        <v>12.728740193881764</v>
      </c>
      <c r="Y44" s="8">
        <f t="shared" si="56"/>
        <v>4.4073107375013718</v>
      </c>
      <c r="Z44" s="3">
        <f t="shared" si="57"/>
        <v>11.941375087754604</v>
      </c>
      <c r="AA44" s="3">
        <f t="shared" si="58"/>
        <v>183.80917136693122</v>
      </c>
      <c r="AB44" s="3"/>
      <c r="AC44" s="3"/>
      <c r="AD44" s="3"/>
    </row>
    <row r="45" spans="1:30" hidden="1">
      <c r="A45" s="7"/>
      <c r="B45" s="3"/>
      <c r="D45" s="1"/>
      <c r="E45" s="2"/>
      <c r="F45" s="2"/>
      <c r="G45" s="2"/>
      <c r="H45" s="2"/>
      <c r="I45" s="2"/>
      <c r="J45" s="20"/>
      <c r="K45" s="2"/>
      <c r="L45" s="2"/>
      <c r="M45" s="2"/>
      <c r="N45" s="2"/>
      <c r="P45" s="4"/>
      <c r="Q45" s="4"/>
      <c r="R45" s="4"/>
      <c r="S45" s="4"/>
      <c r="T45" s="2"/>
      <c r="U45" s="6"/>
      <c r="V45" s="4"/>
      <c r="W45" s="4"/>
      <c r="X45" s="3"/>
      <c r="Y45" s="8"/>
      <c r="Z45" s="3"/>
      <c r="AA45" s="3"/>
      <c r="AB45" s="3"/>
      <c r="AC45" s="3"/>
      <c r="AD45" s="3"/>
    </row>
    <row r="46" spans="1:30" hidden="1">
      <c r="A46" s="7"/>
      <c r="B46" s="3"/>
      <c r="D46" s="1"/>
      <c r="E46" s="2"/>
      <c r="F46" s="2"/>
      <c r="G46" s="2"/>
      <c r="H46" s="2"/>
      <c r="I46" s="2"/>
      <c r="J46" s="20"/>
      <c r="K46" s="2"/>
      <c r="L46" s="2"/>
      <c r="M46" s="2"/>
      <c r="N46" s="2"/>
      <c r="P46" s="4"/>
      <c r="Q46" s="4"/>
      <c r="R46" s="4"/>
      <c r="S46" s="4"/>
      <c r="T46" s="2"/>
      <c r="U46" s="6"/>
      <c r="V46" s="4"/>
      <c r="W46" s="4"/>
      <c r="X46" s="3"/>
      <c r="Y46" s="8"/>
      <c r="Z46" s="3"/>
      <c r="AA46" s="3"/>
      <c r="AB46" s="3"/>
      <c r="AC46" s="3"/>
      <c r="AD46" s="3"/>
    </row>
    <row r="47" spans="1:30" hidden="1">
      <c r="A47" s="7"/>
      <c r="B47" s="3"/>
      <c r="D47" s="1"/>
      <c r="E47" s="2"/>
      <c r="F47" s="2"/>
      <c r="G47" s="2"/>
      <c r="H47" s="2"/>
      <c r="I47" s="2"/>
      <c r="J47" s="20"/>
      <c r="K47" s="2"/>
      <c r="L47" s="2"/>
      <c r="M47" s="2"/>
      <c r="N47" s="2"/>
      <c r="P47" s="4"/>
      <c r="Q47" s="4"/>
      <c r="R47" s="4"/>
      <c r="S47" s="4"/>
      <c r="T47" s="2"/>
      <c r="U47" s="6"/>
      <c r="V47" s="4"/>
      <c r="W47" s="4"/>
      <c r="X47" s="3"/>
      <c r="Y47" s="8"/>
      <c r="Z47" s="3"/>
      <c r="AA47" s="3"/>
      <c r="AB47" s="3"/>
      <c r="AC47" s="3"/>
      <c r="AD47" s="3"/>
    </row>
    <row r="48" spans="1:30" hidden="1">
      <c r="A48" s="7"/>
      <c r="B48" s="3"/>
      <c r="D48" s="1"/>
      <c r="E48" s="2"/>
      <c r="F48" s="2"/>
      <c r="G48" s="2"/>
      <c r="H48" s="2"/>
      <c r="I48" s="2"/>
      <c r="J48" s="20"/>
      <c r="K48" s="2"/>
      <c r="L48" s="2"/>
      <c r="M48" s="2"/>
      <c r="N48" s="2"/>
      <c r="P48" s="4"/>
      <c r="Q48" s="4"/>
      <c r="R48" s="4"/>
      <c r="S48" s="4"/>
      <c r="T48" s="2"/>
      <c r="U48" s="6"/>
      <c r="V48" s="4"/>
      <c r="W48" s="4"/>
      <c r="X48" s="3"/>
      <c r="Y48" s="8"/>
      <c r="Z48" s="3"/>
      <c r="AA48" s="3"/>
      <c r="AB48" s="3"/>
      <c r="AC48" s="3"/>
      <c r="AD48" s="3"/>
    </row>
    <row r="49" spans="1:31" hidden="1">
      <c r="A49" s="7"/>
      <c r="B49" s="3"/>
      <c r="D49" s="1"/>
      <c r="E49" s="2"/>
      <c r="F49" s="2"/>
      <c r="G49" s="2"/>
      <c r="H49" s="2"/>
      <c r="I49" s="2"/>
      <c r="J49" s="20"/>
      <c r="K49" s="2"/>
      <c r="L49" s="2"/>
      <c r="M49" s="2"/>
      <c r="N49" s="2"/>
      <c r="P49" s="4"/>
      <c r="Q49" s="4"/>
      <c r="R49" s="4"/>
      <c r="S49" s="4"/>
      <c r="T49" s="2"/>
      <c r="U49" s="6"/>
      <c r="V49" s="4"/>
      <c r="W49" s="4"/>
      <c r="X49" s="3"/>
      <c r="Y49" s="8"/>
      <c r="Z49" s="3"/>
      <c r="AA49" s="3"/>
      <c r="AB49" s="3"/>
      <c r="AC49" s="3"/>
      <c r="AD49" s="3"/>
    </row>
    <row r="50" spans="1:31">
      <c r="A50" s="7"/>
      <c r="B50" s="3"/>
      <c r="D50" s="1"/>
      <c r="E50" s="2"/>
      <c r="F50" s="2"/>
      <c r="G50" s="2"/>
      <c r="H50" s="2"/>
      <c r="I50" s="2"/>
      <c r="J50" s="20"/>
      <c r="K50" s="2"/>
      <c r="L50" s="2"/>
      <c r="M50" s="2"/>
      <c r="N50" s="2"/>
      <c r="P50" s="4"/>
      <c r="Q50" s="4"/>
      <c r="R50" s="4"/>
      <c r="S50" s="4"/>
      <c r="T50" s="2"/>
      <c r="U50" s="6"/>
      <c r="V50" s="4"/>
      <c r="W50" s="4"/>
      <c r="X50" s="3"/>
      <c r="Y50" s="8"/>
      <c r="Z50" s="3"/>
      <c r="AA50" s="3"/>
      <c r="AB50" s="3"/>
      <c r="AC50" s="3"/>
      <c r="AD50" s="3"/>
    </row>
    <row r="51" spans="1:31">
      <c r="A51" s="7"/>
      <c r="B51" s="3"/>
      <c r="D51" s="1"/>
      <c r="E51" s="2"/>
      <c r="F51" s="2"/>
      <c r="G51" s="2"/>
      <c r="H51" s="2"/>
      <c r="I51" s="2"/>
      <c r="J51" s="20"/>
      <c r="K51" s="2"/>
      <c r="L51" s="2"/>
      <c r="M51" s="2"/>
      <c r="N51" s="2"/>
      <c r="P51" s="4"/>
      <c r="Q51" s="4"/>
      <c r="R51" s="4"/>
      <c r="S51" s="4"/>
      <c r="T51" s="2"/>
      <c r="U51" s="6"/>
      <c r="V51" s="4"/>
      <c r="W51" s="4"/>
      <c r="X51" s="3"/>
      <c r="Y51" s="8"/>
      <c r="Z51" s="3"/>
      <c r="AA51" s="3"/>
      <c r="AB51" s="3"/>
      <c r="AC51" s="3"/>
      <c r="AD51" s="3"/>
    </row>
    <row r="52" spans="1:31">
      <c r="A52" s="7"/>
      <c r="B52" s="3"/>
      <c r="D52" s="1"/>
      <c r="E52" s="2"/>
      <c r="F52" s="2"/>
      <c r="G52" s="2"/>
      <c r="H52" s="2"/>
      <c r="I52" s="2"/>
      <c r="J52" s="20"/>
      <c r="K52" s="2"/>
      <c r="L52" s="2"/>
      <c r="M52" s="2"/>
      <c r="N52" s="2"/>
      <c r="P52" s="4"/>
      <c r="Q52" s="4"/>
      <c r="R52" s="4"/>
      <c r="S52" s="4"/>
      <c r="T52" s="2"/>
      <c r="U52" s="6"/>
      <c r="V52" s="4"/>
      <c r="W52" s="4"/>
      <c r="X52" s="3"/>
      <c r="Y52" s="8"/>
      <c r="Z52" s="3"/>
      <c r="AA52" s="3"/>
      <c r="AB52" s="3"/>
      <c r="AC52" s="3"/>
      <c r="AD52" s="3"/>
    </row>
    <row r="53" spans="1:31">
      <c r="A53" s="7"/>
      <c r="B53" s="3"/>
      <c r="D53" s="1"/>
      <c r="E53" s="2"/>
      <c r="F53" s="2"/>
      <c r="G53" s="2"/>
      <c r="H53" s="2"/>
      <c r="I53" s="2"/>
      <c r="J53" s="20"/>
      <c r="K53" s="2"/>
      <c r="L53" s="2"/>
      <c r="M53" s="2"/>
      <c r="N53" s="2"/>
      <c r="P53" s="4"/>
      <c r="Q53" s="4"/>
      <c r="R53" s="4"/>
      <c r="S53" s="4"/>
      <c r="T53" s="2"/>
      <c r="U53" s="6"/>
      <c r="V53" s="4"/>
      <c r="W53" s="4"/>
      <c r="X53" s="3"/>
      <c r="Y53" s="8"/>
      <c r="Z53" s="3"/>
      <c r="AA53" s="3"/>
      <c r="AB53" s="3"/>
      <c r="AC53" s="3"/>
      <c r="AD53" s="3"/>
    </row>
    <row r="54" spans="1:31">
      <c r="A54" s="7"/>
      <c r="B54" s="3"/>
      <c r="D54" s="1"/>
      <c r="E54" s="2"/>
      <c r="F54" s="2"/>
      <c r="G54" s="2"/>
      <c r="H54" s="2"/>
      <c r="I54" s="2"/>
      <c r="J54" s="20"/>
      <c r="K54" s="2"/>
      <c r="L54" s="2"/>
      <c r="M54" s="2"/>
      <c r="N54" s="2"/>
      <c r="P54" s="4"/>
      <c r="Q54" s="4"/>
      <c r="R54" s="4"/>
      <c r="S54" s="4"/>
      <c r="T54" s="2"/>
      <c r="U54" s="6"/>
      <c r="V54" s="4"/>
      <c r="W54" s="4"/>
      <c r="X54" s="3"/>
      <c r="Y54" s="8"/>
      <c r="Z54" s="3"/>
      <c r="AA54" s="3"/>
      <c r="AB54" s="3"/>
      <c r="AC54" s="3"/>
      <c r="AD54" s="3"/>
    </row>
    <row r="55" spans="1:31">
      <c r="A55" s="7"/>
      <c r="B55" s="3"/>
      <c r="D55" s="1"/>
      <c r="E55" s="2"/>
      <c r="F55" s="2"/>
      <c r="G55" s="2"/>
      <c r="H55" s="2"/>
      <c r="I55" s="2"/>
      <c r="J55" s="20"/>
      <c r="K55" s="2"/>
      <c r="L55" s="2"/>
      <c r="M55" s="2"/>
      <c r="N55" s="2"/>
      <c r="P55" s="4"/>
      <c r="Q55" s="4"/>
      <c r="R55" s="4"/>
      <c r="S55" s="4"/>
      <c r="T55" s="2"/>
      <c r="U55" s="6"/>
      <c r="V55" s="4"/>
      <c r="W55" s="4"/>
      <c r="X55" s="3"/>
      <c r="Y55" s="8"/>
      <c r="Z55" s="3"/>
      <c r="AA55" s="3"/>
      <c r="AB55" s="3"/>
      <c r="AC55" s="3"/>
      <c r="AD55" s="3"/>
    </row>
    <row r="56" spans="1:31">
      <c r="A56" s="7"/>
      <c r="B56" s="3"/>
      <c r="D56" s="1"/>
      <c r="E56" s="2"/>
      <c r="F56" s="2"/>
      <c r="G56" s="2"/>
      <c r="H56" s="2"/>
      <c r="I56" s="2"/>
      <c r="J56" s="20"/>
      <c r="K56" s="2"/>
      <c r="L56" s="2"/>
      <c r="M56" s="2"/>
      <c r="N56" s="2"/>
      <c r="P56" s="4"/>
      <c r="Q56" s="4"/>
      <c r="R56" s="4"/>
      <c r="S56" s="4"/>
      <c r="T56" s="2"/>
      <c r="U56" s="6"/>
      <c r="V56" s="4"/>
      <c r="W56" s="4"/>
      <c r="X56" s="3"/>
      <c r="Y56" s="8"/>
      <c r="Z56" s="3"/>
      <c r="AA56" s="3"/>
      <c r="AB56" s="3"/>
      <c r="AC56" s="3"/>
      <c r="AD56" s="3"/>
    </row>
    <row r="57" spans="1:31">
      <c r="A57" s="7"/>
      <c r="B57" s="3"/>
      <c r="D57" s="1"/>
      <c r="E57" s="2"/>
      <c r="F57" s="2"/>
      <c r="G57" s="2"/>
      <c r="H57" s="2"/>
      <c r="I57" s="2"/>
      <c r="J57" s="20"/>
      <c r="K57" s="2"/>
      <c r="L57" s="2"/>
      <c r="M57" s="2"/>
      <c r="N57" s="2"/>
      <c r="P57" s="4"/>
      <c r="Q57" s="4"/>
      <c r="R57" s="4"/>
      <c r="S57" s="4"/>
      <c r="T57" s="2"/>
      <c r="U57" s="6"/>
      <c r="V57" s="4"/>
      <c r="W57" s="4"/>
      <c r="X57" s="3"/>
      <c r="Y57" s="8"/>
      <c r="Z57" s="3"/>
      <c r="AA57" s="3"/>
      <c r="AB57" s="3"/>
      <c r="AC57" s="3"/>
      <c r="AD57" s="3"/>
    </row>
    <row r="58" spans="1:31">
      <c r="A58" s="7"/>
      <c r="B58" s="3"/>
      <c r="D58" s="1"/>
      <c r="E58" s="2"/>
      <c r="F58" s="2"/>
      <c r="G58" s="2"/>
      <c r="H58" s="2"/>
      <c r="I58" s="2"/>
      <c r="J58" s="20"/>
      <c r="K58" s="2"/>
      <c r="L58" s="2"/>
      <c r="M58" s="2"/>
      <c r="N58" s="2"/>
      <c r="P58" s="4"/>
      <c r="Q58" s="4"/>
      <c r="R58" s="4"/>
      <c r="S58" s="4"/>
      <c r="T58" s="2"/>
      <c r="U58" s="6"/>
      <c r="V58" s="4"/>
      <c r="W58" s="4"/>
      <c r="X58" s="3"/>
      <c r="Y58" s="8"/>
      <c r="Z58" s="3"/>
      <c r="AA58" s="3"/>
      <c r="AB58" s="3"/>
      <c r="AC58" s="3"/>
      <c r="AD58" s="3"/>
    </row>
    <row r="59" spans="1:31">
      <c r="A59" s="7"/>
      <c r="B59" s="3"/>
      <c r="D59" s="1"/>
      <c r="E59" s="2"/>
      <c r="F59" s="2"/>
      <c r="G59" s="2"/>
      <c r="H59" s="2"/>
      <c r="I59" s="2"/>
      <c r="J59" s="20"/>
      <c r="K59" s="2"/>
      <c r="L59" s="2"/>
      <c r="M59" s="2"/>
      <c r="N59" s="2"/>
      <c r="P59" s="4"/>
      <c r="Q59" s="4"/>
      <c r="R59" s="4"/>
      <c r="S59" s="4"/>
      <c r="T59" s="2"/>
      <c r="U59" s="6"/>
      <c r="V59" s="4"/>
      <c r="W59" s="4"/>
      <c r="X59" s="3"/>
      <c r="Y59" s="8"/>
      <c r="Z59" s="3"/>
      <c r="AA59" s="3"/>
      <c r="AB59" s="3"/>
      <c r="AC59" s="3"/>
      <c r="AD59" s="3"/>
    </row>
    <row r="60" spans="1:31"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X60" s="14" t="s">
        <v>26</v>
      </c>
      <c r="Y60" s="9">
        <f>ABS(SUM(Y3:Y44))</f>
        <v>1144.4218809602219</v>
      </c>
      <c r="Z60" s="19">
        <f>SUM(Z3:Z44)</f>
        <v>186.66614189001973</v>
      </c>
      <c r="AA60" s="10">
        <f>SUM(AA3:AA44)</f>
        <v>216528.32951954653</v>
      </c>
      <c r="AB60" s="3"/>
      <c r="AC60" s="3"/>
      <c r="AD60" s="3"/>
      <c r="AE60" s="15"/>
    </row>
    <row r="61" spans="1:31" ht="23.25" customHeight="1"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R61" s="5"/>
      <c r="X61" s="14" t="s">
        <v>25</v>
      </c>
      <c r="Y61" s="3">
        <f>0.75*Y60</f>
        <v>858.31641072016646</v>
      </c>
      <c r="Z61" s="17">
        <f>0.75*Z60</f>
        <v>139.9996064175148</v>
      </c>
      <c r="AA61" s="18">
        <f>AA60/AB21</f>
        <v>186.66624620136605</v>
      </c>
      <c r="AB61" s="16" t="str">
        <f>IF(ABS(Z60-AA61)&lt;0.1,"balanced ro = "&amp;B3, "NG")</f>
        <v>balanced ro = -26.70513</v>
      </c>
      <c r="AC61" s="3"/>
    </row>
    <row r="62" spans="1:31"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Z62" s="21"/>
    </row>
    <row r="63" spans="1:31"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</row>
  </sheetData>
  <phoneticPr fontId="1" type="noConversion"/>
  <conditionalFormatting sqref="R3:R14 R17:R31">
    <cfRule type="cellIs" dxfId="7" priority="47" operator="equal">
      <formula>#REF!</formula>
    </cfRule>
  </conditionalFormatting>
  <conditionalFormatting sqref="R3:R14 R17:R59">
    <cfRule type="cellIs" dxfId="6" priority="43" operator="equal">
      <formula>MIN($R$3:$R$44)</formula>
    </cfRule>
  </conditionalFormatting>
  <conditionalFormatting sqref="R32:R59">
    <cfRule type="cellIs" dxfId="5" priority="42" operator="equal">
      <formula>#REF!</formula>
    </cfRule>
  </conditionalFormatting>
  <conditionalFormatting sqref="R3:R14 R17:R59">
    <cfRule type="cellIs" dxfId="4" priority="98" operator="equal">
      <formula>MIN($R$3:$R$44)</formula>
    </cfRule>
    <cfRule type="cellIs" dxfId="3" priority="99" operator="equal">
      <formula>0.05292</formula>
    </cfRule>
    <cfRule type="cellIs" dxfId="2" priority="100" operator="equal">
      <formula>MIN($R$3:$R$44)</formula>
    </cfRule>
  </conditionalFormatting>
  <conditionalFormatting sqref="F3">
    <cfRule type="expression" dxfId="1" priority="2">
      <formula>ABS($Z$61-$AC$18)&lt;0.001</formula>
    </cfRule>
  </conditionalFormatting>
  <conditionalFormatting sqref="B3">
    <cfRule type="expression" dxfId="0" priority="1">
      <formula>ABS($Z$60-$AA$61)&lt;0.001</formula>
    </cfRule>
  </conditionalFormatting>
  <pageMargins left="0.7" right="0.7" top="0.75" bottom="0.75" header="0.3" footer="0.3"/>
  <pageSetup paperSize="9" orientation="portrait" r:id="rId1"/>
  <ignoredErrors>
    <ignoredError sqref="J4:J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AD11-C6D0-4D89-A762-ED08415F99A4}">
  <dimension ref="A1:AD36"/>
  <sheetViews>
    <sheetView zoomScale="85" zoomScaleNormal="85" workbookViewId="0">
      <pane xSplit="1" ySplit="1" topLeftCell="B2" activePane="bottomRight" state="frozen"/>
      <selection activeCell="R45" sqref="R45"/>
      <selection pane="topRight" activeCell="R45" sqref="R45"/>
      <selection pane="bottomLeft" activeCell="R45" sqref="R45"/>
      <selection pane="bottomRight" activeCell="W8" sqref="W8"/>
    </sheetView>
  </sheetViews>
  <sheetFormatPr defaultColWidth="9" defaultRowHeight="16.5"/>
  <cols>
    <col min="1" max="1" width="18" style="22" bestFit="1" customWidth="1"/>
    <col min="2" max="3" width="9" style="23"/>
    <col min="4" max="4" width="9" style="23" customWidth="1"/>
    <col min="5" max="5" width="9" style="23"/>
    <col min="6" max="6" width="1.375" style="23" customWidth="1"/>
    <col min="7" max="10" width="9" style="23"/>
    <col min="11" max="11" width="1.375" style="23" customWidth="1"/>
    <col min="12" max="15" width="9" style="23"/>
    <col min="16" max="16" width="1.375" style="23" customWidth="1"/>
    <col min="17" max="20" width="9" style="23"/>
    <col min="21" max="21" width="1.375" style="23" customWidth="1"/>
    <col min="22" max="25" width="9" style="23"/>
    <col min="26" max="26" width="1.375" style="23" customWidth="1"/>
    <col min="27" max="16384" width="9" style="23"/>
  </cols>
  <sheetData>
    <row r="1" spans="1:30" ht="32.25" customHeight="1">
      <c r="B1" s="78" t="s">
        <v>151</v>
      </c>
      <c r="C1" s="79"/>
      <c r="D1" s="79"/>
      <c r="E1" s="79"/>
      <c r="G1" s="79" t="s">
        <v>31</v>
      </c>
      <c r="H1" s="79"/>
      <c r="I1" s="79"/>
      <c r="J1" s="79"/>
      <c r="L1" s="78" t="s">
        <v>78</v>
      </c>
      <c r="M1" s="79"/>
      <c r="N1" s="79"/>
      <c r="O1" s="79"/>
      <c r="Q1" s="78" t="s">
        <v>79</v>
      </c>
      <c r="R1" s="79"/>
      <c r="S1" s="79"/>
      <c r="T1" s="79"/>
      <c r="V1" s="78" t="s">
        <v>147</v>
      </c>
      <c r="W1" s="79"/>
      <c r="X1" s="79"/>
      <c r="Y1" s="79"/>
      <c r="AA1" s="78" t="s">
        <v>148</v>
      </c>
      <c r="AB1" s="79"/>
      <c r="AC1" s="79"/>
      <c r="AD1" s="79"/>
    </row>
    <row r="2" spans="1:30">
      <c r="A2" s="68" t="s">
        <v>155</v>
      </c>
      <c r="D2" s="65">
        <f>D3/0.22480894</f>
        <v>354.77663616900219</v>
      </c>
      <c r="E2" s="24">
        <f>'paper-ex'!Z145*2</f>
        <v>1346.712332324925</v>
      </c>
      <c r="I2" s="24">
        <f>ex!Z61*2</f>
        <v>253.74438048021207</v>
      </c>
      <c r="N2" s="24">
        <f>'DB400'!Z61*2</f>
        <v>87.408561495628476</v>
      </c>
      <c r="S2" s="24">
        <f>'DB500'!Z61*2</f>
        <v>148.78939324802192</v>
      </c>
      <c r="X2" s="65">
        <f>X3/0.22480894</f>
        <v>1019.9828289858812</v>
      </c>
      <c r="Y2" s="24">
        <f>'DB600'!Z142*2</f>
        <v>3865.8669201157018</v>
      </c>
      <c r="AC2" s="24">
        <f>'DB700'!Z61*2</f>
        <v>894.34156396493927</v>
      </c>
    </row>
    <row r="3" spans="1:30">
      <c r="A3" s="64" t="s">
        <v>153</v>
      </c>
      <c r="D3" s="24">
        <f>0.75*D12*D13*('paper-ex'!F3/25.4*16)*D14</f>
        <v>79.756959513919043</v>
      </c>
      <c r="E3" s="24"/>
      <c r="I3" s="24">
        <f>I2*0.22480894</f>
        <v>57.044005206713173</v>
      </c>
      <c r="N3" s="24">
        <f>N2*0.22480894</f>
        <v>19.650226056757052</v>
      </c>
      <c r="S3" s="24">
        <f>S2*0.22480894</f>
        <v>33.449185779330968</v>
      </c>
      <c r="X3" s="24">
        <f>0.75*X12*X13*('DB600'!F3/25.4*16)*X14</f>
        <v>229.30125860251724</v>
      </c>
      <c r="Y3" s="24"/>
      <c r="AC3" s="24">
        <f>AC2*0.22480894</f>
        <v>201.05597899290021</v>
      </c>
    </row>
    <row r="4" spans="1:30">
      <c r="A4" s="22" t="s">
        <v>33</v>
      </c>
      <c r="D4" s="28">
        <f>'paper-ex'!K3*2</f>
        <v>160</v>
      </c>
      <c r="I4" s="28">
        <f>stiffener_C_shaped_weld!B79</f>
        <v>460</v>
      </c>
      <c r="N4" s="28">
        <f>stiffener_C_shaped_weld!C79</f>
        <v>280</v>
      </c>
      <c r="S4" s="28">
        <f>stiffener_C_shaped_weld!D79</f>
        <v>360</v>
      </c>
      <c r="X4" s="28">
        <f>'DB600'!K3*2</f>
        <v>460</v>
      </c>
      <c r="AC4" s="28">
        <f>stiffener_C_shaped_weld!G79</f>
        <v>520</v>
      </c>
    </row>
    <row r="5" spans="1:30">
      <c r="A5" s="22" t="s">
        <v>34</v>
      </c>
      <c r="D5" s="28">
        <f>MAX('paper-ex'!D3:D98)*'paper-ex'!E3</f>
        <v>320</v>
      </c>
      <c r="I5" s="28">
        <f>stiffener_C_shaped_weld!B80</f>
        <v>110</v>
      </c>
      <c r="N5" s="28">
        <f>stiffener_C_shaped_weld!C80</f>
        <v>100</v>
      </c>
      <c r="S5" s="28">
        <f>stiffener_C_shaped_weld!D80</f>
        <v>100</v>
      </c>
      <c r="X5" s="28">
        <f>MAX('DB600'!D3:D95)*'DB600'!E3</f>
        <v>920</v>
      </c>
      <c r="AC5" s="28">
        <f>stiffener_C_shaped_weld!G80</f>
        <v>100</v>
      </c>
    </row>
    <row r="6" spans="1:30">
      <c r="D6" s="25" t="s">
        <v>49</v>
      </c>
      <c r="I6" s="25" t="s">
        <v>49</v>
      </c>
      <c r="N6" s="25" t="s">
        <v>49</v>
      </c>
      <c r="S6" s="25" t="s">
        <v>49</v>
      </c>
      <c r="X6" s="25" t="s">
        <v>49</v>
      </c>
      <c r="AC6" s="25" t="s">
        <v>49</v>
      </c>
    </row>
    <row r="7" spans="1:30">
      <c r="B7" s="26"/>
      <c r="C7" s="26">
        <v>2</v>
      </c>
      <c r="D7" s="26">
        <f>D5/D4</f>
        <v>2</v>
      </c>
      <c r="E7" s="26">
        <v>2</v>
      </c>
      <c r="F7" s="26"/>
      <c r="G7" s="26"/>
      <c r="H7" s="26">
        <v>0.2</v>
      </c>
      <c r="I7" s="26">
        <f>I5/I4</f>
        <v>0.2391304347826087</v>
      </c>
      <c r="J7" s="26">
        <v>0.3</v>
      </c>
      <c r="K7" s="26"/>
      <c r="L7" s="26"/>
      <c r="M7" s="26">
        <v>0.3</v>
      </c>
      <c r="N7" s="26">
        <f>N5/N4</f>
        <v>0.35714285714285715</v>
      </c>
      <c r="O7" s="26">
        <v>0.4</v>
      </c>
      <c r="P7" s="26"/>
      <c r="Q7" s="26"/>
      <c r="R7" s="26">
        <v>0.2</v>
      </c>
      <c r="S7" s="26">
        <f>S5/S4</f>
        <v>0.27777777777777779</v>
      </c>
      <c r="T7" s="26">
        <v>0.3</v>
      </c>
      <c r="U7" s="26"/>
      <c r="V7" s="26"/>
      <c r="W7" s="26">
        <v>2</v>
      </c>
      <c r="X7" s="26">
        <f>X5/X4</f>
        <v>2</v>
      </c>
      <c r="Y7" s="26">
        <v>2</v>
      </c>
      <c r="Z7" s="26"/>
      <c r="AA7" s="26"/>
      <c r="AB7" s="26">
        <v>0.1</v>
      </c>
      <c r="AC7" s="26">
        <f>AC5/AC4</f>
        <v>0.19230769230769232</v>
      </c>
      <c r="AD7" s="26">
        <v>0.2</v>
      </c>
    </row>
    <row r="8" spans="1:30">
      <c r="B8" s="26">
        <v>3</v>
      </c>
      <c r="C8" s="26">
        <v>2.68</v>
      </c>
      <c r="D8" s="26">
        <f>IF(C7=E7,C8,C8+(E8-C8)/(E7-C7)*(D7-C7))</f>
        <v>2.68</v>
      </c>
      <c r="E8" s="26">
        <v>2.68</v>
      </c>
      <c r="F8" s="26"/>
      <c r="G8" s="26">
        <v>1.8</v>
      </c>
      <c r="H8" s="26">
        <v>0.56999999999999995</v>
      </c>
      <c r="I8" s="26">
        <f>IF(H7=J7,H8,H8+(J8-H8)/(J7-H7)*(I7-H7))</f>
        <v>0.61734782608695649</v>
      </c>
      <c r="J8" s="26">
        <v>0.69099999999999995</v>
      </c>
      <c r="K8" s="26"/>
      <c r="L8" s="26">
        <v>0.7</v>
      </c>
      <c r="M8" s="26">
        <v>1.66</v>
      </c>
      <c r="N8" s="26">
        <f>IF(M7=O7,M8,M8+(O8-M8)/(O7-M7)*(N7-M7))</f>
        <v>1.8257142857142856</v>
      </c>
      <c r="O8" s="26">
        <v>1.95</v>
      </c>
      <c r="P8" s="26"/>
      <c r="Q8" s="26">
        <v>1.4</v>
      </c>
      <c r="R8" s="26">
        <v>0.72899999999999998</v>
      </c>
      <c r="S8" s="26">
        <f>IF(R7=T7,R8,R8+(T8-R8)/(T7-R7)*(S7-R7))</f>
        <v>0.84877777777777785</v>
      </c>
      <c r="T8" s="26">
        <v>0.88300000000000001</v>
      </c>
      <c r="U8" s="26"/>
      <c r="V8" s="26">
        <v>3</v>
      </c>
      <c r="W8" s="26">
        <v>2.68</v>
      </c>
      <c r="X8" s="26">
        <f>IF(W7=Y7,W8,W8+(Y8-W8)/(Y7-W7)*(X7-W7))</f>
        <v>2.68</v>
      </c>
      <c r="Y8" s="26">
        <v>5.15</v>
      </c>
      <c r="Z8" s="26"/>
      <c r="AA8" s="26">
        <v>1</v>
      </c>
      <c r="AB8" s="26">
        <v>0.81299999999999994</v>
      </c>
      <c r="AC8" s="26">
        <f>IF(AB7=AD7,AB8,AB8+(AD8-AB8)/(AD7-AB7)*(AC7-AB7))</f>
        <v>0.98561538461538456</v>
      </c>
      <c r="AD8" s="26">
        <v>1</v>
      </c>
    </row>
    <row r="9" spans="1:30">
      <c r="A9" s="22" t="s">
        <v>3</v>
      </c>
      <c r="B9" s="26">
        <f>'paper-ex'!AB13/D4</f>
        <v>3</v>
      </c>
      <c r="C9" s="26">
        <f>IF(B8=B10,C8,C8+(C10-C8)/(B10-B8)*(B9-B8))</f>
        <v>2.68</v>
      </c>
      <c r="D9" s="27">
        <f>IF(C7=E7,C9,C9+(E9-C9)/(E7-C7)*(D7-C7))</f>
        <v>2.68</v>
      </c>
      <c r="E9" s="26">
        <f>IF(B8=B10,E8,E8+(E10-E8)/(B10-B8)*(B9-B8))</f>
        <v>2.68</v>
      </c>
      <c r="F9" s="26"/>
      <c r="G9" s="26">
        <f>ex!AB17/I4</f>
        <v>1.8059368682712063</v>
      </c>
      <c r="H9" s="26">
        <f>IF(G8=G10,H8,H8+(H10-H8)/(G10-G8)*(G9-G8))</f>
        <v>0.56833767688406223</v>
      </c>
      <c r="I9" s="27">
        <f>IF(H7=J7,H9,H9+(J9-H9)/(J7-H7)*(I7-H7))</f>
        <v>0.61554611562899919</v>
      </c>
      <c r="J9" s="26">
        <f>IF(G8=G10,J8,J8+(J10-J8)/(G10-G8)*(G9-G8))</f>
        <v>0.68898146478778988</v>
      </c>
      <c r="K9" s="26"/>
      <c r="L9" s="26">
        <f>'DB400'!AB17/N4</f>
        <v>0.73653179325458829</v>
      </c>
      <c r="M9" s="26">
        <f>IF(L8=L10,M8,M8+(M10-M8)/(L10-L8)*(L9-L8))</f>
        <v>1.5942427721417409</v>
      </c>
      <c r="N9" s="27">
        <f>IF(M7=O7,M9,M9+(O9-M9)/(O7-M7)*(N7-M7))</f>
        <v>1.755781995769788</v>
      </c>
      <c r="O9" s="26">
        <f>IF(L8=L10,O8,O8+(O10-O8)/(L10-L8)*(L9-L8))</f>
        <v>1.8769364134908233</v>
      </c>
      <c r="P9" s="26"/>
      <c r="Q9" s="26">
        <f>'DB500'!AB17/S4</f>
        <v>1.5380829209341458</v>
      </c>
      <c r="R9" s="26">
        <f>IF(Q8=Q10,R8,R8+(R10-R8)/(Q10-Q8)*(Q9-Q8))</f>
        <v>0.66755310018430514</v>
      </c>
      <c r="S9" s="27">
        <f>IF(R7=T7,R9,R9+(T9-R9)/(T7-R7)*(S7-R7))</f>
        <v>0.77712808435972669</v>
      </c>
      <c r="T9" s="26">
        <f>IF(Q8=Q10,T8,T8+(T10-T8)/(Q10-Q8)*(Q9-Q8))</f>
        <v>0.80843522269556134</v>
      </c>
      <c r="U9" s="26"/>
      <c r="V9" s="26">
        <f>'DB600'!AB13/X4</f>
        <v>3</v>
      </c>
      <c r="W9" s="26">
        <f>IF(V8=V10,W8,W8+(W10-W8)/(V10-V8)*(V9-V8))</f>
        <v>2.68</v>
      </c>
      <c r="X9" s="27">
        <f>IF(W7=Y7,W9,W9+(Y9-W9)/(Y7-W7)*(X7-W7))</f>
        <v>2.68</v>
      </c>
      <c r="Y9" s="26">
        <f>IF(V8=V10,Y8,Y8+(Y10-Y8)/(V10-V8)*(V9-V8))</f>
        <v>5.15</v>
      </c>
      <c r="Z9" s="26"/>
      <c r="AA9" s="26">
        <f>'DB700'!AB17/AC4</f>
        <v>0.39636752136752135</v>
      </c>
      <c r="AB9" s="26">
        <f>IF(AA8=AA10,AB8,AB8+(AB10-AB8)/(AA10-AA8)*(AA9-AA8))</f>
        <v>1.2023429487179484</v>
      </c>
      <c r="AC9" s="27">
        <f>IF(AB7=AD7,AB9,AB9+(AD9-AB9)/(AD7-AB7)*(AC7-AB7))</f>
        <v>1.4473942307692309</v>
      </c>
      <c r="AD9" s="26">
        <f>IF(AA8=AA10,AD8,AD8+(AD10-AD8)/(AA10-AA8)*(AA9-AA8))</f>
        <v>1.4678151709401712</v>
      </c>
    </row>
    <row r="10" spans="1:30">
      <c r="B10" s="26">
        <v>3</v>
      </c>
      <c r="C10" s="26">
        <v>2.68</v>
      </c>
      <c r="D10" s="26">
        <f>IF(C7=E7,C10,C10+(E10-C10)/(E7-C7)*(D7-C7))</f>
        <v>2.68</v>
      </c>
      <c r="E10" s="26">
        <v>2.68</v>
      </c>
      <c r="F10" s="26"/>
      <c r="G10" s="26">
        <v>2</v>
      </c>
      <c r="H10" s="26">
        <v>0.51400000000000001</v>
      </c>
      <c r="I10" s="26">
        <f>IF(H7=J7,H10,H10+(J10-H10)/(J7-H7)*(I7-H7))</f>
        <v>0.55665217391304345</v>
      </c>
      <c r="J10" s="26">
        <v>0.623</v>
      </c>
      <c r="K10" s="26"/>
      <c r="L10" s="26">
        <v>0.8</v>
      </c>
      <c r="M10" s="26">
        <v>1.48</v>
      </c>
      <c r="N10" s="26">
        <f>IF(M7=O7,M10,M10+(O10-M10)/(O7-M7)*(N7-M7))</f>
        <v>1.6342857142857143</v>
      </c>
      <c r="O10" s="26">
        <v>1.75</v>
      </c>
      <c r="P10" s="26"/>
      <c r="Q10" s="26">
        <v>1.6</v>
      </c>
      <c r="R10" s="26">
        <v>0.64</v>
      </c>
      <c r="S10" s="26">
        <f>IF(R7=T7,R10,R10+(T10-R10)/(T7-R7)*(S7-R7))</f>
        <v>0.745</v>
      </c>
      <c r="T10" s="26">
        <v>0.77500000000000002</v>
      </c>
      <c r="U10" s="26"/>
      <c r="V10" s="26">
        <v>3</v>
      </c>
      <c r="W10" s="26">
        <v>4.6399999999999997</v>
      </c>
      <c r="X10" s="26">
        <f>IF(W7=Y7,W10,W10+(Y10-W10)/(Y7-W7)*(X7-W7))</f>
        <v>4.6399999999999997</v>
      </c>
      <c r="Y10" s="26">
        <v>4.34</v>
      </c>
      <c r="Z10" s="26"/>
      <c r="AA10" s="26">
        <v>1.2</v>
      </c>
      <c r="AB10" s="26">
        <v>0.68400000000000005</v>
      </c>
      <c r="AC10" s="26">
        <f>IF(AB7=AD7,AB10,AB10+(AD10-AB10)/(AD7-AB7)*(AC7-AB7))</f>
        <v>0.83261538461538454</v>
      </c>
      <c r="AD10" s="26">
        <v>0.84499999999999997</v>
      </c>
    </row>
    <row r="12" spans="1:30">
      <c r="A12" s="22" t="s">
        <v>47</v>
      </c>
      <c r="B12" s="26"/>
      <c r="D12" s="26">
        <f>D9</f>
        <v>2.68</v>
      </c>
      <c r="G12" s="26"/>
      <c r="I12" s="26">
        <f>I9</f>
        <v>0.61554611562899919</v>
      </c>
      <c r="L12" s="26"/>
      <c r="N12" s="26">
        <f>N9</f>
        <v>1.755781995769788</v>
      </c>
      <c r="Q12" s="26"/>
      <c r="S12" s="26">
        <f>S9</f>
        <v>0.77712808435972669</v>
      </c>
      <c r="V12" s="26"/>
      <c r="X12" s="26">
        <f>X9</f>
        <v>2.68</v>
      </c>
      <c r="AA12" s="26"/>
      <c r="AC12" s="26">
        <f>AC9</f>
        <v>1.4473942307692309</v>
      </c>
    </row>
    <row r="13" spans="1:30" ht="17.25" customHeight="1">
      <c r="A13" s="58" t="s">
        <v>141</v>
      </c>
      <c r="D13" s="28">
        <v>1</v>
      </c>
      <c r="I13" s="28">
        <v>1</v>
      </c>
      <c r="N13" s="28">
        <v>1</v>
      </c>
      <c r="S13" s="28">
        <v>1</v>
      </c>
      <c r="X13" s="28">
        <v>1</v>
      </c>
      <c r="AC13" s="28">
        <v>1</v>
      </c>
    </row>
    <row r="14" spans="1:30">
      <c r="A14" s="22" t="s">
        <v>48</v>
      </c>
      <c r="D14" s="37">
        <f>D4/25.4</f>
        <v>6.2992125984251972</v>
      </c>
      <c r="I14" s="23">
        <f>I4/25.4</f>
        <v>18.110236220472441</v>
      </c>
      <c r="N14" s="23">
        <f>N4/25.4</f>
        <v>11.023622047244094</v>
      </c>
      <c r="S14" s="23">
        <f>S4/25.4</f>
        <v>14.173228346456694</v>
      </c>
      <c r="X14" s="23">
        <f>X4/25.4</f>
        <v>18.110236220472441</v>
      </c>
      <c r="AC14" s="23">
        <f>AC4/25.4</f>
        <v>20.472440944881892</v>
      </c>
    </row>
    <row r="15" spans="1:30">
      <c r="A15" s="22" t="s">
        <v>51</v>
      </c>
      <c r="D15" s="37">
        <f>D3/(0.75*D12*D13*D14)</f>
        <v>6.2992125984251972</v>
      </c>
      <c r="E15" s="37"/>
      <c r="I15" s="37">
        <f>I3/(0.75*I12*I13*I14)</f>
        <v>6.8228219399346957</v>
      </c>
      <c r="N15" s="37">
        <f>N3/(0.75*N12*N13*N14)</f>
        <v>1.353665565282919</v>
      </c>
      <c r="S15" s="37">
        <f>S3/(0.75*S12*S13*S14)</f>
        <v>4.0491409898212636</v>
      </c>
      <c r="X15" s="37">
        <f>X3/(0.75*X12*X13*X14)</f>
        <v>6.2992125984251972</v>
      </c>
      <c r="Y15" s="37"/>
      <c r="AC15" s="37">
        <f>AC3/(0.75*AC12*AC13*AC14)</f>
        <v>9.0468890670806079</v>
      </c>
    </row>
    <row r="16" spans="1:30">
      <c r="A16" s="22" t="s">
        <v>32</v>
      </c>
      <c r="D16" s="61">
        <f>D15/16*25.4</f>
        <v>10</v>
      </c>
      <c r="I16" s="42">
        <f>I15/16*25.4</f>
        <v>10.831229829646329</v>
      </c>
      <c r="N16" s="42">
        <f>N15/16*25.4</f>
        <v>2.1489440848866339</v>
      </c>
      <c r="S16" s="42">
        <f>S15/16*25.4</f>
        <v>6.4280113213412555</v>
      </c>
      <c r="X16" s="61">
        <f>X15/16*25.4</f>
        <v>10</v>
      </c>
      <c r="AC16" s="42">
        <f>AC15/16*25.4</f>
        <v>14.361936393990463</v>
      </c>
    </row>
    <row r="17" spans="1:30">
      <c r="E17" s="67">
        <f>(E2-D2)/D2</f>
        <v>2.7959442506338048</v>
      </c>
      <c r="Y17" s="67">
        <f>(Y2-X2)/X2</f>
        <v>2.7901294122366194</v>
      </c>
    </row>
    <row r="18" spans="1:30">
      <c r="Y18" s="67"/>
    </row>
    <row r="19" spans="1:30">
      <c r="D19" s="25"/>
    </row>
    <row r="20" spans="1:30">
      <c r="B20" s="28"/>
      <c r="C20" s="28"/>
      <c r="E20" s="28"/>
      <c r="F20" s="28"/>
      <c r="K20" s="28"/>
      <c r="P20" s="28"/>
      <c r="U20" s="28"/>
      <c r="Z20" s="28"/>
    </row>
    <row r="21" spans="1:30" ht="32.25" customHeight="1">
      <c r="B21" s="78" t="s">
        <v>80</v>
      </c>
      <c r="C21" s="79"/>
      <c r="D21" s="79"/>
      <c r="E21" s="79"/>
      <c r="G21" s="78" t="s">
        <v>81</v>
      </c>
      <c r="H21" s="79"/>
      <c r="I21" s="79"/>
      <c r="J21" s="79"/>
      <c r="L21" s="78" t="s">
        <v>146</v>
      </c>
      <c r="M21" s="79"/>
      <c r="N21" s="79"/>
      <c r="O21" s="79"/>
      <c r="Q21" s="79"/>
      <c r="R21" s="79"/>
      <c r="S21" s="79"/>
      <c r="T21" s="79"/>
      <c r="V21" s="79" t="s">
        <v>53</v>
      </c>
      <c r="W21" s="79"/>
      <c r="X21" s="79"/>
      <c r="Y21" s="79"/>
      <c r="AA21" s="78" t="s">
        <v>82</v>
      </c>
      <c r="AB21" s="79"/>
      <c r="AC21" s="79"/>
      <c r="AD21" s="79"/>
    </row>
    <row r="22" spans="1:30">
      <c r="A22" s="63" t="s">
        <v>152</v>
      </c>
      <c r="D22" s="24">
        <f>'DB800'!Z61*2</f>
        <v>594.9234212065785</v>
      </c>
      <c r="I22" s="24">
        <f>'DB900'!Z61*2</f>
        <v>760.99742106507176</v>
      </c>
      <c r="N22" s="24">
        <f>'DB588'!Z61*2</f>
        <v>313.26928468047447</v>
      </c>
      <c r="X22" s="24">
        <f>'CW1'!Z61*2</f>
        <v>1067.9994807703752</v>
      </c>
      <c r="AC22" s="23">
        <f>AC23/0.22480894</f>
        <v>280.23796562538837</v>
      </c>
    </row>
    <row r="23" spans="1:30">
      <c r="A23" s="64" t="s">
        <v>153</v>
      </c>
      <c r="D23" s="24">
        <f>D22*0.22480894</f>
        <v>133.74410370262444</v>
      </c>
      <c r="I23" s="24">
        <f>I22*0.22480894</f>
        <v>171.07902357237248</v>
      </c>
      <c r="N23" s="24">
        <f>N22*0.22480894</f>
        <v>70.425735823575707</v>
      </c>
      <c r="S23" s="24"/>
      <c r="X23" s="24">
        <v>240</v>
      </c>
      <c r="AC23" s="24">
        <v>63</v>
      </c>
    </row>
    <row r="24" spans="1:30">
      <c r="A24" s="22" t="s">
        <v>33</v>
      </c>
      <c r="D24" s="28">
        <f>stiffener_C_shaped_weld!H79</f>
        <v>620</v>
      </c>
      <c r="I24" s="28">
        <f>stiffener_C_shaped_weld!I79</f>
        <v>720</v>
      </c>
      <c r="N24" s="28">
        <f>stiffener_C_shaped_weld!F79</f>
        <v>420</v>
      </c>
      <c r="S24" s="28"/>
      <c r="X24" s="28">
        <v>860</v>
      </c>
      <c r="AC24" s="28">
        <v>560</v>
      </c>
    </row>
    <row r="25" spans="1:30">
      <c r="A25" s="22" t="s">
        <v>34</v>
      </c>
      <c r="D25" s="28">
        <f>stiffener_C_shaped_weld!H80</f>
        <v>100</v>
      </c>
      <c r="I25" s="28">
        <f>stiffener_C_shaped_weld!I80</f>
        <v>100</v>
      </c>
      <c r="N25" s="28">
        <f>stiffener_C_shaped_weld!F80</f>
        <v>100</v>
      </c>
      <c r="S25" s="28"/>
      <c r="X25" s="28">
        <f>ROUND(4*25.4/10,0)*10</f>
        <v>100</v>
      </c>
      <c r="AC25" s="28">
        <f>ROUND(4*25.4/10,0)*10</f>
        <v>100</v>
      </c>
    </row>
    <row r="26" spans="1:30">
      <c r="D26" s="25" t="s">
        <v>49</v>
      </c>
      <c r="I26" s="25" t="s">
        <v>49</v>
      </c>
      <c r="N26" s="25" t="s">
        <v>49</v>
      </c>
      <c r="S26" s="25"/>
      <c r="X26" s="25" t="s">
        <v>49</v>
      </c>
      <c r="AC26" s="25" t="s">
        <v>49</v>
      </c>
    </row>
    <row r="27" spans="1:30">
      <c r="B27" s="26"/>
      <c r="C27" s="26">
        <v>0.1</v>
      </c>
      <c r="D27" s="26">
        <f>D25/D24</f>
        <v>0.16129032258064516</v>
      </c>
      <c r="E27" s="26">
        <v>0.2</v>
      </c>
      <c r="F27" s="26"/>
      <c r="G27" s="26"/>
      <c r="H27" s="26">
        <v>0.1</v>
      </c>
      <c r="I27" s="26">
        <f>I25/I24</f>
        <v>0.1388888888888889</v>
      </c>
      <c r="J27" s="26">
        <v>0.2</v>
      </c>
      <c r="K27" s="26"/>
      <c r="L27" s="26"/>
      <c r="M27" s="26">
        <v>0.2</v>
      </c>
      <c r="N27" s="26">
        <f>N25/N24</f>
        <v>0.23809523809523808</v>
      </c>
      <c r="O27" s="26">
        <v>0.3</v>
      </c>
      <c r="P27" s="26"/>
      <c r="Q27" s="26"/>
      <c r="R27" s="26"/>
      <c r="S27" s="26"/>
      <c r="T27" s="26"/>
      <c r="U27" s="26"/>
      <c r="V27" s="26"/>
      <c r="W27" s="26">
        <v>0.1</v>
      </c>
      <c r="X27" s="26">
        <f>X25/X24</f>
        <v>0.11627906976744186</v>
      </c>
      <c r="Y27" s="26">
        <v>0.2</v>
      </c>
      <c r="Z27" s="26"/>
      <c r="AA27" s="26"/>
      <c r="AB27" s="26">
        <v>0.1</v>
      </c>
      <c r="AC27" s="26">
        <f>AC25/AC24</f>
        <v>0.17857142857142858</v>
      </c>
      <c r="AD27" s="26">
        <v>0.2</v>
      </c>
    </row>
    <row r="28" spans="1:30">
      <c r="B28" s="26">
        <v>1</v>
      </c>
      <c r="C28" s="26">
        <v>0.81299999999999994</v>
      </c>
      <c r="D28" s="26">
        <f>IF(C27=E27,C28,C28+(E28-C28)/(E27-C27)*(D27-C27))</f>
        <v>0.92761290322580647</v>
      </c>
      <c r="E28" s="26">
        <v>1</v>
      </c>
      <c r="F28" s="26"/>
      <c r="G28" s="26">
        <v>1</v>
      </c>
      <c r="H28" s="26">
        <v>0.81299999999999994</v>
      </c>
      <c r="I28" s="26">
        <f>IF(H27=J27,H28,H28+(J28-H28)/(J27-H27)*(I27-H27))</f>
        <v>0.88572222222222219</v>
      </c>
      <c r="J28" s="26">
        <v>1</v>
      </c>
      <c r="K28" s="26"/>
      <c r="L28" s="26">
        <v>0.9</v>
      </c>
      <c r="M28" s="26">
        <v>1.1100000000000001</v>
      </c>
      <c r="N28" s="26">
        <f>IF(M27=O27,M28,M28+(O28-M28)/(O27-M27)*(N27-M27))</f>
        <v>1.1976190476190476</v>
      </c>
      <c r="O28" s="26">
        <v>1.34</v>
      </c>
      <c r="P28" s="26"/>
      <c r="Q28" s="26"/>
      <c r="R28" s="26"/>
      <c r="S28" s="26"/>
      <c r="T28" s="26"/>
      <c r="U28" s="26"/>
      <c r="V28" s="26">
        <v>1.2</v>
      </c>
      <c r="W28" s="26">
        <v>0.68400000000000005</v>
      </c>
      <c r="X28" s="26">
        <f>IF(W27=Y27,W28,W28+(Y28-W28)/(Y27-W27)*(X27-W27))</f>
        <v>0.71020930232558144</v>
      </c>
      <c r="Y28" s="26">
        <v>0.84499999999999997</v>
      </c>
      <c r="Z28" s="26"/>
      <c r="AA28" s="26">
        <v>2</v>
      </c>
      <c r="AB28" s="26">
        <v>0.41499999999999998</v>
      </c>
      <c r="AC28" s="26">
        <f>IF(AB27=AD27,AB28,AB28+(AD28-AB28)/(AD27-AB27)*(AC27-AB27))</f>
        <v>0.49278571428571427</v>
      </c>
      <c r="AD28" s="26">
        <v>0.51400000000000001</v>
      </c>
    </row>
    <row r="29" spans="1:30">
      <c r="A29" s="22" t="s">
        <v>3</v>
      </c>
      <c r="B29" s="26">
        <f>'DB800'!AB17/D24</f>
        <v>1.0340301678358998</v>
      </c>
      <c r="C29" s="26">
        <f>IF(B28=B30,C28,C28+(C30-C28)/(B30-B28)*(B29-B28))</f>
        <v>0.79105054174584455</v>
      </c>
      <c r="D29" s="27">
        <f>IF(C27=E27,C29,C29+(E29-C29)/(E27-C27)*(D27-C27))</f>
        <v>0.90295200901827444</v>
      </c>
      <c r="E29" s="26">
        <f>IF(B28=B30,E28,E28+(E30-E28)/(B30-B28)*(B29-B28))</f>
        <v>0.97362661992717758</v>
      </c>
      <c r="F29" s="26"/>
      <c r="G29" s="26">
        <f>'DB900'!AB17/I24</f>
        <v>1.1191082498646696</v>
      </c>
      <c r="H29" s="26">
        <f>IF(G28=G30,H28,H28+(H30-H28)/(G30-G28)*(G29-G28))</f>
        <v>0.73617517883728811</v>
      </c>
      <c r="I29" s="27">
        <f>IF(H27=J27,H29,H29+(J29-H29)/(J27-H27)*(I27-H27))</f>
        <v>0.80287581731635205</v>
      </c>
      <c r="J29" s="26">
        <f>IF(G28=G30,J28,J28+(J30-J28)/(G30-G28)*(G29-G28))</f>
        <v>0.90769110635488104</v>
      </c>
      <c r="K29" s="26"/>
      <c r="L29" s="26">
        <f>IF(K28=K30,L28,L28+(L30-L28)/(K30-K28)*(K29-K28))</f>
        <v>0.9</v>
      </c>
      <c r="M29" s="26">
        <f>M28+(M30-M28)/(L30-L28)*(L29-L28)</f>
        <v>1.1100000000000001</v>
      </c>
      <c r="N29" s="26">
        <f>IF(K28=K30,N28,N28+(N30-N28)/(K30-K28)*(K29-K28))</f>
        <v>1.1976190476190476</v>
      </c>
      <c r="O29" s="26">
        <f>O28+(O30-O28)/(L30-L28)*(L29-L28)</f>
        <v>1.34</v>
      </c>
      <c r="P29" s="25"/>
      <c r="Q29" s="25"/>
      <c r="R29" s="25"/>
      <c r="S29" s="25"/>
      <c r="T29" s="26"/>
      <c r="U29" s="26"/>
      <c r="V29" s="26">
        <f>'CW1'!AB17/X24</f>
        <v>1.2713663098835977</v>
      </c>
      <c r="W29" s="26">
        <f>IF(V28=V30,W28,W28+(W30-W28)/(V30-V28)*(V29-V28))</f>
        <v>0.65010100280529115</v>
      </c>
      <c r="X29" s="27">
        <f>IF(W27=Y27,W29,W29+(Y29-W29)/(Y27-W27)*(X27-W27))</f>
        <v>0.67509043913635058</v>
      </c>
      <c r="Y29" s="26">
        <f>IF(V28=V30,Y28,Y28+(Y30-Y28)/(V30-V28)*(V29-V28))</f>
        <v>0.80360754026751335</v>
      </c>
      <c r="Z29" s="26"/>
      <c r="AA29" s="26">
        <f>'CW2'!AB17/AC24</f>
        <v>2.0236976369495165</v>
      </c>
      <c r="AB29" s="26">
        <f>IF(AA28=AA30,AB28,AB28+(AB30-AB28)/(AA30-AA28)*(AA29-AA28))</f>
        <v>0.41061593716433942</v>
      </c>
      <c r="AC29" s="27">
        <f>IF(AB27=AD27,AB29,AB29+(AD29-AB29)/(AD27-AB27)*(AC27-AB27))</f>
        <v>0.48756377071505297</v>
      </c>
      <c r="AD29" s="26">
        <f>IF(AA28=AA30,AD28,AD28+(AD30-AD28)/(AA30-AA28)*(AA29-AA28))</f>
        <v>0.50854954350161119</v>
      </c>
    </row>
    <row r="30" spans="1:30">
      <c r="B30" s="26">
        <v>1.2</v>
      </c>
      <c r="C30" s="26">
        <v>0.68400000000000005</v>
      </c>
      <c r="D30" s="26">
        <f>IF(C27=E27,C30,C30+(E30-C30)/(E27-C27)*(D27-C27))</f>
        <v>0.7826774193548387</v>
      </c>
      <c r="E30" s="26">
        <v>0.84499999999999997</v>
      </c>
      <c r="F30" s="26"/>
      <c r="G30" s="26">
        <v>1.2</v>
      </c>
      <c r="H30" s="26">
        <v>0.68400000000000005</v>
      </c>
      <c r="I30" s="26">
        <f>IF(H27=J27,H30,H30+(J30-H30)/(J27-H27)*(I27-H27))</f>
        <v>0.74661111111111111</v>
      </c>
      <c r="J30" s="26">
        <v>0.84499999999999997</v>
      </c>
      <c r="K30" s="26"/>
      <c r="L30" s="26">
        <v>1</v>
      </c>
      <c r="M30" s="26">
        <v>1</v>
      </c>
      <c r="N30" s="26">
        <f>IF(M27=O27,M30,M30+(O30-M30)/(O27-M27)*(N27-M27))</f>
        <v>1.0799999999999998</v>
      </c>
      <c r="O30" s="26">
        <v>1.21</v>
      </c>
      <c r="P30" s="25"/>
      <c r="Q30" s="25"/>
      <c r="R30" s="25"/>
      <c r="S30" s="25"/>
      <c r="T30" s="26"/>
      <c r="U30" s="26"/>
      <c r="V30" s="26">
        <v>1.4</v>
      </c>
      <c r="W30" s="26">
        <v>0.58899999999999997</v>
      </c>
      <c r="X30" s="26">
        <f>IF(W27=Y27,W30,W30+(Y30-W30)/(Y27-W27)*(X27-W27))</f>
        <v>0.61179069767441852</v>
      </c>
      <c r="Y30" s="26">
        <v>0.72899999999999998</v>
      </c>
      <c r="Z30" s="26"/>
      <c r="AA30" s="26">
        <v>2.2000000000000002</v>
      </c>
      <c r="AB30" s="26">
        <v>0.378</v>
      </c>
      <c r="AC30" s="26">
        <f>IF(AB27=AD27,AB30,AB30+(AD30-AB30)/(AD27-AB27)*(AC27-AB27))</f>
        <v>0.44871428571428573</v>
      </c>
      <c r="AD30" s="26">
        <v>0.46800000000000003</v>
      </c>
    </row>
    <row r="31" spans="1:30">
      <c r="P31" s="25"/>
      <c r="Q31" s="25"/>
      <c r="R31" s="25"/>
      <c r="S31" s="25"/>
    </row>
    <row r="32" spans="1:30">
      <c r="A32" s="22" t="s">
        <v>47</v>
      </c>
      <c r="B32" s="26"/>
      <c r="D32" s="26">
        <f>D29</f>
        <v>0.90295200901827444</v>
      </c>
      <c r="G32" s="26"/>
      <c r="I32" s="26">
        <f>I29</f>
        <v>0.80287581731635205</v>
      </c>
      <c r="L32" s="26"/>
      <c r="N32" s="26">
        <f>N29</f>
        <v>1.1976190476190476</v>
      </c>
      <c r="P32" s="25"/>
      <c r="Q32" s="25"/>
      <c r="R32" s="25"/>
      <c r="S32" s="25"/>
      <c r="V32" s="26"/>
      <c r="X32" s="26">
        <f>X29</f>
        <v>0.67509043913635058</v>
      </c>
      <c r="AA32" s="26"/>
      <c r="AC32" s="26">
        <f>AC29</f>
        <v>0.48756377071505297</v>
      </c>
    </row>
    <row r="33" spans="1:29" ht="17.25" customHeight="1">
      <c r="A33" s="58" t="s">
        <v>141</v>
      </c>
      <c r="D33" s="28">
        <v>1</v>
      </c>
      <c r="I33" s="28">
        <v>1</v>
      </c>
      <c r="N33" s="28">
        <v>1</v>
      </c>
      <c r="P33" s="25"/>
      <c r="Q33" s="25"/>
      <c r="R33" s="25"/>
      <c r="S33" s="28"/>
      <c r="V33" s="23">
        <f>'CW1'!AB17/X24</f>
        <v>1.2713663098835977</v>
      </c>
      <c r="X33" s="28">
        <v>1</v>
      </c>
      <c r="AC33" s="28">
        <v>1</v>
      </c>
    </row>
    <row r="34" spans="1:29">
      <c r="A34" s="22" t="s">
        <v>48</v>
      </c>
      <c r="D34" s="23">
        <f>D24/25.4</f>
        <v>24.409448818897641</v>
      </c>
      <c r="I34" s="23">
        <f>I24/25.4</f>
        <v>28.346456692913389</v>
      </c>
      <c r="N34" s="23">
        <f>N24/25.4</f>
        <v>16.535433070866144</v>
      </c>
      <c r="P34" s="25"/>
      <c r="Q34" s="25"/>
      <c r="R34" s="25"/>
      <c r="S34" s="25"/>
      <c r="X34" s="23">
        <f>X24/25.4</f>
        <v>33.858267716535437</v>
      </c>
      <c r="AC34" s="23">
        <f>AC24/25.4</f>
        <v>22.047244094488189</v>
      </c>
    </row>
    <row r="35" spans="1:29">
      <c r="A35" s="22" t="s">
        <v>51</v>
      </c>
      <c r="D35" s="37">
        <f>D23/(0.75*D32*D33*D34)</f>
        <v>8.0907864739329245</v>
      </c>
      <c r="I35" s="23">
        <f>I23/(0.75*I32*I33*I34)</f>
        <v>10.022783342673637</v>
      </c>
      <c r="N35" s="23">
        <f>N23/(0.75*N32*N33*N34)</f>
        <v>4.7417195226476414</v>
      </c>
      <c r="P35" s="25"/>
      <c r="Q35" s="25"/>
      <c r="R35" s="25"/>
      <c r="S35" s="25"/>
      <c r="V35" s="23">
        <f>(35.3+3.6)/(X24/25.4)</f>
        <v>1.148906976744186</v>
      </c>
      <c r="X35" s="23">
        <f>X23/(0.75*X32*X33*X34)</f>
        <v>13.999846898718685</v>
      </c>
      <c r="AC35" s="37">
        <f>AC23/(0.75*AC32*AC33*AC34)</f>
        <v>7.8143624051727967</v>
      </c>
    </row>
    <row r="36" spans="1:29">
      <c r="A36" s="22" t="s">
        <v>32</v>
      </c>
      <c r="D36" s="42">
        <f>D35/16*25.4</f>
        <v>12.844123527368517</v>
      </c>
      <c r="I36" s="42">
        <f>I35/16*25.4</f>
        <v>15.911168556494399</v>
      </c>
      <c r="N36" s="42">
        <f>N35/16*25.4</f>
        <v>7.5274797422031305</v>
      </c>
      <c r="P36" s="25"/>
      <c r="Q36" s="25"/>
      <c r="R36" s="25"/>
      <c r="S36" s="25"/>
      <c r="X36" s="42">
        <f>X35/16*25.4</f>
        <v>22.224756951715911</v>
      </c>
      <c r="AC36" s="42">
        <f>AC35/16*25.4</f>
        <v>12.405300318211815</v>
      </c>
    </row>
  </sheetData>
  <mergeCells count="12">
    <mergeCell ref="AA21:AD21"/>
    <mergeCell ref="B1:E1"/>
    <mergeCell ref="G1:J1"/>
    <mergeCell ref="L1:O1"/>
    <mergeCell ref="Q1:T1"/>
    <mergeCell ref="V1:Y1"/>
    <mergeCell ref="AA1:AD1"/>
    <mergeCell ref="B21:E21"/>
    <mergeCell ref="G21:J21"/>
    <mergeCell ref="L21:O21"/>
    <mergeCell ref="Q21:T21"/>
    <mergeCell ref="V21:Y21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D3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ColWidth="9" defaultRowHeight="16.5"/>
  <cols>
    <col min="1" max="1" width="18" style="22" bestFit="1" customWidth="1"/>
    <col min="2" max="3" width="9" style="23"/>
    <col min="4" max="4" width="9" style="23" customWidth="1"/>
    <col min="5" max="5" width="9" style="23"/>
    <col min="6" max="6" width="1.375" style="23" customWidth="1"/>
    <col min="7" max="8" width="9" style="23"/>
    <col min="9" max="9" width="9" style="23" customWidth="1"/>
    <col min="10" max="10" width="9" style="23"/>
    <col min="11" max="11" width="1.375" style="23" customWidth="1"/>
    <col min="12" max="15" width="9" style="23"/>
    <col min="16" max="16" width="1.375" style="23" customWidth="1"/>
    <col min="17" max="20" width="9" style="23"/>
    <col min="21" max="21" width="1.375" style="23" customWidth="1"/>
    <col min="22" max="25" width="9" style="23"/>
    <col min="26" max="26" width="1.375" style="23" customWidth="1"/>
    <col min="27" max="16384" width="9" style="23"/>
  </cols>
  <sheetData>
    <row r="1" spans="1:30" ht="32.25" customHeight="1">
      <c r="B1" s="79" t="s">
        <v>30</v>
      </c>
      <c r="C1" s="79"/>
      <c r="D1" s="79"/>
      <c r="E1" s="79"/>
      <c r="G1" s="79" t="s">
        <v>31</v>
      </c>
      <c r="H1" s="79"/>
      <c r="I1" s="79"/>
      <c r="J1" s="79"/>
      <c r="L1" s="78" t="s">
        <v>78</v>
      </c>
      <c r="M1" s="79"/>
      <c r="N1" s="79"/>
      <c r="O1" s="79"/>
      <c r="Q1" s="78" t="s">
        <v>79</v>
      </c>
      <c r="R1" s="79"/>
      <c r="S1" s="79"/>
      <c r="T1" s="79"/>
      <c r="V1" s="78" t="s">
        <v>147</v>
      </c>
      <c r="W1" s="79"/>
      <c r="X1" s="79"/>
      <c r="Y1" s="79"/>
      <c r="AA1" s="78" t="s">
        <v>148</v>
      </c>
      <c r="AB1" s="79"/>
      <c r="AC1" s="79"/>
      <c r="AD1" s="79"/>
    </row>
    <row r="2" spans="1:30">
      <c r="A2" s="22" t="s">
        <v>35</v>
      </c>
      <c r="D2" s="24">
        <f>sample!Z61*2</f>
        <v>377.82158160385268</v>
      </c>
      <c r="I2" s="24">
        <f>ex!Z61*2</f>
        <v>253.74438048021207</v>
      </c>
      <c r="N2" s="26">
        <f>'DB400'!Z61*2</f>
        <v>87.408561495628476</v>
      </c>
      <c r="S2" s="24">
        <f>'DB500'!Z61*2</f>
        <v>148.78939324802192</v>
      </c>
      <c r="X2" s="24">
        <f>'DB600'!Z142*2</f>
        <v>3865.8669201157018</v>
      </c>
      <c r="AC2" s="24">
        <f>'DB700'!Z61*2</f>
        <v>894.34156396493927</v>
      </c>
    </row>
    <row r="3" spans="1:30">
      <c r="A3" s="22" t="s">
        <v>52</v>
      </c>
      <c r="D3" s="24">
        <f>D2*0.22480894</f>
        <v>84.937669269485625</v>
      </c>
      <c r="I3" s="24">
        <f>I2*0.22480894</f>
        <v>57.044005206713173</v>
      </c>
      <c r="N3" s="24">
        <f>N2*0.22480894</f>
        <v>19.650226056757052</v>
      </c>
      <c r="S3" s="24">
        <f>S2*0.22480894</f>
        <v>33.449185779330968</v>
      </c>
      <c r="X3" s="24">
        <f>X2*0.22480894</f>
        <v>869.08144449227564</v>
      </c>
      <c r="AC3" s="24">
        <f>AC2*0.22480894</f>
        <v>201.05597899290021</v>
      </c>
    </row>
    <row r="4" spans="1:30">
      <c r="A4" s="22" t="s">
        <v>33</v>
      </c>
      <c r="D4" s="28">
        <f>sample!K3*2</f>
        <v>240</v>
      </c>
      <c r="I4" s="28">
        <f>stiffener_C_shaped_weld!B79</f>
        <v>460</v>
      </c>
      <c r="N4" s="28">
        <f>stiffener_C_shaped_weld!C79</f>
        <v>280</v>
      </c>
      <c r="S4" s="28">
        <f>stiffener_C_shaped_weld!D79</f>
        <v>360</v>
      </c>
      <c r="X4" s="28">
        <f>stiffener_C_shaped_weld!E79</f>
        <v>460</v>
      </c>
      <c r="AC4" s="28">
        <f>stiffener_C_shaped_weld!G79</f>
        <v>520</v>
      </c>
    </row>
    <row r="5" spans="1:30">
      <c r="A5" s="22" t="s">
        <v>34</v>
      </c>
      <c r="D5" s="28">
        <f>MAX(sample!D3:D14)*sample!E3</f>
        <v>120</v>
      </c>
      <c r="I5" s="28">
        <f>stiffener_C_shaped_weld!B80</f>
        <v>110</v>
      </c>
      <c r="N5" s="28">
        <f>stiffener_C_shaped_weld!C80</f>
        <v>100</v>
      </c>
      <c r="S5" s="28">
        <f>stiffener_C_shaped_weld!D80</f>
        <v>100</v>
      </c>
      <c r="X5" s="28">
        <f>stiffener_C_shaped_weld!E80</f>
        <v>100</v>
      </c>
      <c r="AC5" s="28">
        <f>stiffener_C_shaped_weld!G80</f>
        <v>100</v>
      </c>
    </row>
    <row r="6" spans="1:30">
      <c r="D6" s="25" t="s">
        <v>49</v>
      </c>
      <c r="I6" s="25" t="s">
        <v>49</v>
      </c>
      <c r="N6" s="25" t="s">
        <v>49</v>
      </c>
      <c r="S6" s="25" t="s">
        <v>49</v>
      </c>
      <c r="X6" s="25" t="s">
        <v>49</v>
      </c>
      <c r="AC6" s="25" t="s">
        <v>49</v>
      </c>
    </row>
    <row r="7" spans="1:30">
      <c r="B7" s="26"/>
      <c r="C7" s="26">
        <v>0.5</v>
      </c>
      <c r="D7" s="26">
        <f>D5/D4</f>
        <v>0.5</v>
      </c>
      <c r="E7" s="26">
        <v>0.5</v>
      </c>
      <c r="F7" s="26"/>
      <c r="G7" s="26"/>
      <c r="H7" s="26">
        <v>0.2</v>
      </c>
      <c r="I7" s="26">
        <f>I5/I4</f>
        <v>0.2391304347826087</v>
      </c>
      <c r="J7" s="26">
        <v>0.3</v>
      </c>
      <c r="K7" s="26"/>
      <c r="L7" s="26"/>
      <c r="M7" s="26">
        <v>0.3</v>
      </c>
      <c r="N7" s="26">
        <f>N5/N4</f>
        <v>0.35714285714285715</v>
      </c>
      <c r="O7" s="26">
        <v>0.4</v>
      </c>
      <c r="P7" s="26"/>
      <c r="Q7" s="26"/>
      <c r="R7" s="26">
        <v>0.2</v>
      </c>
      <c r="S7" s="26">
        <f>S5/S4</f>
        <v>0.27777777777777779</v>
      </c>
      <c r="T7" s="26">
        <v>0.3</v>
      </c>
      <c r="U7" s="26"/>
      <c r="V7" s="26"/>
      <c r="W7" s="26">
        <v>0.2</v>
      </c>
      <c r="X7" s="26">
        <f>X5/X4</f>
        <v>0.21739130434782608</v>
      </c>
      <c r="Y7" s="26">
        <v>0.3</v>
      </c>
      <c r="Z7" s="26"/>
      <c r="AA7" s="26"/>
      <c r="AB7" s="26">
        <v>0.1</v>
      </c>
      <c r="AC7" s="26">
        <f>AC5/AC4</f>
        <v>0.19230769230769232</v>
      </c>
      <c r="AD7" s="26">
        <v>0.2</v>
      </c>
    </row>
    <row r="8" spans="1:30">
      <c r="B8" s="26">
        <v>0.8</v>
      </c>
      <c r="C8" s="26">
        <v>2.02</v>
      </c>
      <c r="D8" s="26">
        <f>IF(C7=E7,C8,C8+(E8-C8)/(E7-C7)*(D7-C7))</f>
        <v>2.02</v>
      </c>
      <c r="E8" s="26">
        <v>2.02</v>
      </c>
      <c r="F8" s="26"/>
      <c r="G8" s="26">
        <v>1.8</v>
      </c>
      <c r="H8" s="26">
        <v>0.56999999999999995</v>
      </c>
      <c r="I8" s="26">
        <f>IF(H7=J7,H8,H8+(J8-H8)/(J7-H7)*(I7-H7))</f>
        <v>0.61734782608695649</v>
      </c>
      <c r="J8" s="26">
        <v>0.69099999999999995</v>
      </c>
      <c r="K8" s="26"/>
      <c r="L8" s="26">
        <v>0.7</v>
      </c>
      <c r="M8" s="26">
        <v>1.66</v>
      </c>
      <c r="N8" s="26">
        <f>IF(M7=O7,M8,M8+(O8-M8)/(O7-M7)*(N7-M7))</f>
        <v>1.8257142857142856</v>
      </c>
      <c r="O8" s="26">
        <v>1.95</v>
      </c>
      <c r="P8" s="26"/>
      <c r="Q8" s="26">
        <v>1.4</v>
      </c>
      <c r="R8" s="26">
        <v>0.72899999999999998</v>
      </c>
      <c r="S8" s="26">
        <f>IF(R7=T7,R8,R8+(T8-R8)/(T7-R7)*(S7-R7))</f>
        <v>0.84877777777777785</v>
      </c>
      <c r="T8" s="26">
        <v>0.88300000000000001</v>
      </c>
      <c r="U8" s="26"/>
      <c r="V8" s="26">
        <v>1.8</v>
      </c>
      <c r="W8" s="26">
        <v>0.56999999999999995</v>
      </c>
      <c r="X8" s="26">
        <f>IF(W7=Y7,W8,W8+(Y8-W8)/(Y7-W7)*(X7-W7))</f>
        <v>0.59104347826086945</v>
      </c>
      <c r="Y8" s="26">
        <v>0.69099999999999995</v>
      </c>
      <c r="Z8" s="26"/>
      <c r="AA8" s="26">
        <v>1</v>
      </c>
      <c r="AB8" s="26">
        <v>0.81299999999999994</v>
      </c>
      <c r="AC8" s="26">
        <f>IF(AB7=AD7,AB8,AB8+(AD8-AB8)/(AD7-AB7)*(AC7-AB7))</f>
        <v>0.98561538461538456</v>
      </c>
      <c r="AD8" s="26">
        <v>1</v>
      </c>
    </row>
    <row r="9" spans="1:30">
      <c r="A9" s="22" t="s">
        <v>50</v>
      </c>
      <c r="B9" s="26">
        <f>sample!AB17/D4</f>
        <v>0.875</v>
      </c>
      <c r="C9" s="26">
        <f>C8+(C10-C8)/(B10-B8)*(B9-B8)</f>
        <v>1.8775000000000002</v>
      </c>
      <c r="D9" s="27">
        <f>IF(C7=E7,C9,C9+(E9-C9)/(E7-C7)*(D7-C7))</f>
        <v>1.8775000000000002</v>
      </c>
      <c r="E9" s="26">
        <f>E8+(E10-E8)/(B10-B8)*(B9-B8)</f>
        <v>1.8775000000000002</v>
      </c>
      <c r="F9" s="26"/>
      <c r="G9" s="26">
        <f>ex!AB17/I4</f>
        <v>1.8059368682712063</v>
      </c>
      <c r="H9" s="26">
        <f>H8+(H10-H8)/(G10-G8)*(G9-G8)</f>
        <v>0.56833767688406223</v>
      </c>
      <c r="I9" s="27">
        <f>IF(H7=J7,H9,H9+(J9-H9)/(J7-H7)*(I7-H7))</f>
        <v>0.61554611562899919</v>
      </c>
      <c r="J9" s="26">
        <f>J8+(J10-J8)/(G10-G8)*(G9-G8)</f>
        <v>0.68898146478778988</v>
      </c>
      <c r="K9" s="26"/>
      <c r="L9" s="26">
        <f>'DB400'!AB17/N4</f>
        <v>0.73653179325458829</v>
      </c>
      <c r="M9" s="26">
        <f>M8+(M10-M8)/(L10-L8)*(L9-L8)</f>
        <v>1.5942427721417409</v>
      </c>
      <c r="N9" s="27">
        <f>IF(M7=O7,M9,M9+(O9-M9)/(O7-M7)*(N7-M7))</f>
        <v>1.755781995769788</v>
      </c>
      <c r="O9" s="26">
        <f>O8+(O10-O8)/(L10-L8)*(L9-L8)</f>
        <v>1.8769364134908233</v>
      </c>
      <c r="P9" s="26"/>
      <c r="Q9" s="26">
        <f>'DB500'!AB17/S4</f>
        <v>1.5380829209341458</v>
      </c>
      <c r="R9" s="26">
        <f>R8+(R10-R8)/(Q10-Q8)*(Q9-Q8)</f>
        <v>0.66755310018430514</v>
      </c>
      <c r="S9" s="27">
        <f>IF(R7=T7,R9,R9+(T9-R9)/(T7-R7)*(S7-R7))</f>
        <v>0.77712808435972669</v>
      </c>
      <c r="T9" s="26">
        <f>T8+(T10-T8)/(Q10-Q8)*(Q9-Q8)</f>
        <v>0.80843522269556134</v>
      </c>
      <c r="U9" s="26"/>
      <c r="V9" s="26">
        <f>'DB600'!AB12/X4</f>
        <v>6.5217391304347823E-3</v>
      </c>
      <c r="W9" s="26">
        <f>W8+(W10-W8)/(V10-V8)*(V9-V8)</f>
        <v>1.0721739130434778</v>
      </c>
      <c r="X9" s="27">
        <f>IF(W7=Y7,W9,W9+(Y9-W9)/(Y7-W7)*(X7-W7))</f>
        <v>1.1119319470699427</v>
      </c>
      <c r="Y9" s="26">
        <f>Y8+(Y10-Y8)/(V10-V8)*(V9-V8)</f>
        <v>1.3007826086956518</v>
      </c>
      <c r="Z9" s="26"/>
      <c r="AA9" s="26">
        <f>'DB700'!AB17/AC4</f>
        <v>0.39636752136752135</v>
      </c>
      <c r="AB9" s="26">
        <f>AB8+(AB10-AB8)/(AA10-AA8)*(AA9-AA8)</f>
        <v>1.2023429487179484</v>
      </c>
      <c r="AC9" s="27">
        <f>IF(AB7=AD7,AB9,AB9+(AD9-AB9)/(AD7-AB7)*(AC7-AB7))</f>
        <v>1.4473942307692309</v>
      </c>
      <c r="AD9" s="26">
        <f>AD8+(AD10-AD8)/(AA10-AA8)*(AA9-AA8)</f>
        <v>1.4678151709401712</v>
      </c>
    </row>
    <row r="10" spans="1:30">
      <c r="B10" s="26">
        <v>0.9</v>
      </c>
      <c r="C10" s="26">
        <v>1.83</v>
      </c>
      <c r="D10" s="26">
        <f>IF(C7=E7,C10,C10+(E10-C10)/(E7-C7)*(D7-C7))</f>
        <v>1.83</v>
      </c>
      <c r="E10" s="26">
        <v>1.83</v>
      </c>
      <c r="F10" s="26"/>
      <c r="G10" s="26">
        <v>2</v>
      </c>
      <c r="H10" s="26">
        <v>0.51400000000000001</v>
      </c>
      <c r="I10" s="26">
        <f>IF(H7=J7,H10,H10+(J10-H10)/(J7-H7)*(I7-H7))</f>
        <v>0.55665217391304345</v>
      </c>
      <c r="J10" s="26">
        <v>0.623</v>
      </c>
      <c r="K10" s="26"/>
      <c r="L10" s="26">
        <v>0.8</v>
      </c>
      <c r="M10" s="26">
        <v>1.48</v>
      </c>
      <c r="N10" s="26">
        <f>IF(M7=O7,M10,M10+(O10-M10)/(O7-M7)*(N7-M7))</f>
        <v>1.6342857142857143</v>
      </c>
      <c r="O10" s="26">
        <v>1.75</v>
      </c>
      <c r="P10" s="26"/>
      <c r="Q10" s="26">
        <v>1.6</v>
      </c>
      <c r="R10" s="26">
        <v>0.64</v>
      </c>
      <c r="S10" s="26">
        <f>IF(R7=T7,R10,R10+(T10-R10)/(T7-R7)*(S7-R7))</f>
        <v>0.745</v>
      </c>
      <c r="T10" s="26">
        <v>0.77500000000000002</v>
      </c>
      <c r="U10" s="26"/>
      <c r="V10" s="26">
        <v>2</v>
      </c>
      <c r="W10" s="26">
        <v>0.51400000000000001</v>
      </c>
      <c r="X10" s="26">
        <f>IF(W7=Y7,W10,W10+(Y10-W10)/(Y7-W7)*(X7-W7))</f>
        <v>0.53295652173913044</v>
      </c>
      <c r="Y10" s="26">
        <v>0.623</v>
      </c>
      <c r="Z10" s="26"/>
      <c r="AA10" s="26">
        <v>1.2</v>
      </c>
      <c r="AB10" s="26">
        <v>0.68400000000000005</v>
      </c>
      <c r="AC10" s="26">
        <f>IF(AB7=AD7,AB10,AB10+(AD10-AB10)/(AD7-AB7)*(AC7-AB7))</f>
        <v>0.83261538461538454</v>
      </c>
      <c r="AD10" s="26">
        <v>0.84499999999999997</v>
      </c>
    </row>
    <row r="12" spans="1:30">
      <c r="A12" s="22" t="s">
        <v>47</v>
      </c>
      <c r="B12" s="26"/>
      <c r="D12" s="26">
        <f>D9</f>
        <v>1.8775000000000002</v>
      </c>
      <c r="G12" s="26"/>
      <c r="I12" s="26">
        <f>I9</f>
        <v>0.61554611562899919</v>
      </c>
      <c r="L12" s="26"/>
      <c r="N12" s="26">
        <f>N9</f>
        <v>1.755781995769788</v>
      </c>
      <c r="Q12" s="26"/>
      <c r="S12" s="26">
        <f>S9</f>
        <v>0.77712808435972669</v>
      </c>
      <c r="V12" s="26"/>
      <c r="X12" s="26">
        <f>X9</f>
        <v>1.1119319470699427</v>
      </c>
      <c r="AA12" s="26"/>
      <c r="AC12" s="26">
        <f>AC9</f>
        <v>1.4473942307692309</v>
      </c>
    </row>
    <row r="13" spans="1:30" ht="17.25" customHeight="1">
      <c r="A13" s="58" t="s">
        <v>141</v>
      </c>
      <c r="D13" s="28">
        <v>1</v>
      </c>
      <c r="I13" s="28">
        <v>1</v>
      </c>
      <c r="N13" s="28">
        <v>1</v>
      </c>
      <c r="S13" s="28">
        <v>1</v>
      </c>
      <c r="X13" s="28">
        <v>1</v>
      </c>
      <c r="AC13" s="28">
        <v>1</v>
      </c>
    </row>
    <row r="14" spans="1:30">
      <c r="A14" s="22" t="s">
        <v>48</v>
      </c>
      <c r="D14" s="23">
        <f>D4/25.4</f>
        <v>9.4488188976377963</v>
      </c>
      <c r="I14" s="23">
        <f>I4/25.4</f>
        <v>18.110236220472441</v>
      </c>
      <c r="N14" s="23">
        <f>N4/25.4</f>
        <v>11.023622047244094</v>
      </c>
      <c r="S14" s="23">
        <f>S4/25.4</f>
        <v>14.173228346456694</v>
      </c>
      <c r="X14" s="23">
        <f>X4/25.4</f>
        <v>18.110236220472441</v>
      </c>
      <c r="AC14" s="23">
        <f>AC4/25.4</f>
        <v>20.472440944881892</v>
      </c>
    </row>
    <row r="15" spans="1:30">
      <c r="A15" s="22" t="s">
        <v>51</v>
      </c>
      <c r="D15" s="23">
        <f>D3/(0.75*D12*D13*D14)</f>
        <v>6.3838342933716072</v>
      </c>
      <c r="I15" s="23">
        <f>I3/(0.75*I12*I13*I14)</f>
        <v>6.8228219399346957</v>
      </c>
      <c r="N15" s="23">
        <f>N3/(0.75*N12*N13*N14)</f>
        <v>1.353665565282919</v>
      </c>
      <c r="S15" s="37">
        <f>S3/(0.75*S12*S13*S14)</f>
        <v>4.0491409898212636</v>
      </c>
      <c r="X15" s="23">
        <f>X3/(0.75*X12*X13*X14)</f>
        <v>57.543581778042352</v>
      </c>
      <c r="AC15" s="23">
        <f>AC3/(0.75*AC12*AC13*AC14)</f>
        <v>9.0468890670806079</v>
      </c>
    </row>
    <row r="16" spans="1:30">
      <c r="A16" s="22" t="s">
        <v>32</v>
      </c>
      <c r="D16" s="42">
        <f>D15/16*25.4</f>
        <v>10.134336940727426</v>
      </c>
      <c r="I16" s="42">
        <f>I15/16*25.4</f>
        <v>10.831229829646329</v>
      </c>
      <c r="N16" s="42">
        <f>N15/16*25.4</f>
        <v>2.1489440848866339</v>
      </c>
      <c r="S16" s="42">
        <f>S15/16*25.4</f>
        <v>6.4280113213412555</v>
      </c>
      <c r="X16" s="42">
        <f>X15/16*25.4</f>
        <v>91.350436072642225</v>
      </c>
      <c r="AC16" s="42">
        <f>AC15/16*25.4</f>
        <v>14.361936393990463</v>
      </c>
    </row>
    <row r="19" spans="1:30">
      <c r="D19" s="25"/>
    </row>
    <row r="20" spans="1:30">
      <c r="B20" s="28"/>
      <c r="C20" s="28"/>
      <c r="E20" s="28"/>
      <c r="F20" s="28"/>
      <c r="K20" s="28"/>
      <c r="P20" s="28"/>
      <c r="U20" s="28"/>
      <c r="Z20" s="28"/>
    </row>
    <row r="21" spans="1:30" ht="32.25" customHeight="1">
      <c r="B21" s="78" t="s">
        <v>80</v>
      </c>
      <c r="C21" s="79"/>
      <c r="D21" s="79"/>
      <c r="E21" s="79"/>
      <c r="G21" s="78" t="s">
        <v>81</v>
      </c>
      <c r="H21" s="79"/>
      <c r="I21" s="79"/>
      <c r="J21" s="79"/>
      <c r="L21" s="78" t="s">
        <v>146</v>
      </c>
      <c r="M21" s="79"/>
      <c r="N21" s="79"/>
      <c r="O21" s="79"/>
      <c r="Q21" s="79"/>
      <c r="R21" s="79"/>
      <c r="S21" s="79"/>
      <c r="T21" s="79"/>
      <c r="V21" s="79" t="s">
        <v>53</v>
      </c>
      <c r="W21" s="79"/>
      <c r="X21" s="79"/>
      <c r="Y21" s="79"/>
      <c r="AA21" s="78" t="s">
        <v>82</v>
      </c>
      <c r="AB21" s="79"/>
      <c r="AC21" s="79"/>
      <c r="AD21" s="79"/>
    </row>
    <row r="22" spans="1:30">
      <c r="A22" s="22" t="s">
        <v>35</v>
      </c>
      <c r="D22" s="24">
        <f>'DB800'!Z61*2</f>
        <v>594.9234212065785</v>
      </c>
      <c r="I22" s="24">
        <f>'DB900'!Z61*2</f>
        <v>760.99742106507176</v>
      </c>
      <c r="N22" s="24">
        <f>'DB588'!Z61*2</f>
        <v>313.26928468047447</v>
      </c>
      <c r="X22" s="23">
        <f>'CW1'!Z61*2</f>
        <v>1067.9994807703752</v>
      </c>
      <c r="AC22" s="23">
        <f>AC23/0.22480894</f>
        <v>280.23796562538837</v>
      </c>
    </row>
    <row r="23" spans="1:30">
      <c r="A23" s="22" t="s">
        <v>52</v>
      </c>
      <c r="D23" s="24">
        <f>D22*0.22480894</f>
        <v>133.74410370262444</v>
      </c>
      <c r="I23" s="24">
        <f>I22*0.22480894</f>
        <v>171.07902357237248</v>
      </c>
      <c r="N23" s="24">
        <f>N22*0.22480894</f>
        <v>70.425735823575707</v>
      </c>
      <c r="S23" s="24"/>
      <c r="X23" s="24">
        <v>240</v>
      </c>
      <c r="AC23" s="24">
        <v>63</v>
      </c>
    </row>
    <row r="24" spans="1:30">
      <c r="A24" s="22" t="s">
        <v>33</v>
      </c>
      <c r="D24" s="28">
        <f>stiffener_C_shaped_weld!H79</f>
        <v>620</v>
      </c>
      <c r="I24" s="28">
        <f>stiffener_C_shaped_weld!I79</f>
        <v>720</v>
      </c>
      <c r="N24" s="28">
        <f>stiffener_C_shaped_weld!F79</f>
        <v>420</v>
      </c>
      <c r="S24" s="28"/>
      <c r="X24" s="28">
        <v>860</v>
      </c>
      <c r="AC24" s="28">
        <v>560</v>
      </c>
    </row>
    <row r="25" spans="1:30">
      <c r="A25" s="22" t="s">
        <v>34</v>
      </c>
      <c r="D25" s="28">
        <f>stiffener_C_shaped_weld!H80</f>
        <v>100</v>
      </c>
      <c r="I25" s="28">
        <f>stiffener_C_shaped_weld!I80</f>
        <v>100</v>
      </c>
      <c r="N25" s="28">
        <f>stiffener_C_shaped_weld!F80</f>
        <v>100</v>
      </c>
      <c r="S25" s="28"/>
      <c r="X25" s="28">
        <f>ROUND(4*25.4/10,0)*10</f>
        <v>100</v>
      </c>
      <c r="AC25" s="28">
        <f>ROUND(4*25.4/10,0)*10</f>
        <v>100</v>
      </c>
    </row>
    <row r="26" spans="1:30">
      <c r="D26" s="25" t="s">
        <v>49</v>
      </c>
      <c r="I26" s="25" t="s">
        <v>49</v>
      </c>
      <c r="N26" s="25" t="s">
        <v>49</v>
      </c>
      <c r="S26" s="25"/>
      <c r="X26" s="25" t="s">
        <v>49</v>
      </c>
      <c r="AC26" s="25" t="s">
        <v>49</v>
      </c>
    </row>
    <row r="27" spans="1:30">
      <c r="B27" s="26"/>
      <c r="C27" s="26">
        <v>0.1</v>
      </c>
      <c r="D27" s="26">
        <f>D25/D24</f>
        <v>0.16129032258064516</v>
      </c>
      <c r="E27" s="26">
        <v>0.2</v>
      </c>
      <c r="F27" s="26"/>
      <c r="G27" s="26"/>
      <c r="H27" s="26">
        <v>0.1</v>
      </c>
      <c r="I27" s="26">
        <f>I25/I24</f>
        <v>0.1388888888888889</v>
      </c>
      <c r="J27" s="26">
        <v>0.2</v>
      </c>
      <c r="K27" s="26"/>
      <c r="L27" s="26"/>
      <c r="M27" s="26">
        <v>0.2</v>
      </c>
      <c r="N27" s="26">
        <f>N25/N24</f>
        <v>0.23809523809523808</v>
      </c>
      <c r="O27" s="26">
        <v>0.3</v>
      </c>
      <c r="P27" s="26"/>
      <c r="Q27" s="26"/>
      <c r="R27" s="26"/>
      <c r="S27" s="26"/>
      <c r="T27" s="26"/>
      <c r="U27" s="26"/>
      <c r="V27" s="26"/>
      <c r="W27" s="26">
        <v>0.1</v>
      </c>
      <c r="X27" s="26">
        <f>X25/X24</f>
        <v>0.11627906976744186</v>
      </c>
      <c r="Y27" s="26">
        <v>0.2</v>
      </c>
      <c r="Z27" s="26"/>
      <c r="AA27" s="26"/>
      <c r="AB27" s="26">
        <v>0.1</v>
      </c>
      <c r="AC27" s="26">
        <f>AC25/AC24</f>
        <v>0.17857142857142858</v>
      </c>
      <c r="AD27" s="26">
        <v>0.2</v>
      </c>
    </row>
    <row r="28" spans="1:30">
      <c r="B28" s="26">
        <v>1</v>
      </c>
      <c r="C28" s="26">
        <v>0.81299999999999994</v>
      </c>
      <c r="D28" s="26">
        <f>IF(C27=E27,C28,C28+(E28-C28)/(E27-C27)*(D27-C27))</f>
        <v>0.92761290322580647</v>
      </c>
      <c r="E28" s="26">
        <v>1</v>
      </c>
      <c r="F28" s="26"/>
      <c r="G28" s="26">
        <v>1</v>
      </c>
      <c r="H28" s="26">
        <v>0.81299999999999994</v>
      </c>
      <c r="I28" s="26">
        <f>IF(H27=J27,H28,H28+(J28-H28)/(J27-H27)*(I27-H27))</f>
        <v>0.88572222222222219</v>
      </c>
      <c r="J28" s="26">
        <v>1</v>
      </c>
      <c r="K28" s="26"/>
      <c r="L28" s="26">
        <v>0.9</v>
      </c>
      <c r="M28" s="26">
        <v>1.1100000000000001</v>
      </c>
      <c r="N28" s="26">
        <f>IF(M27=O27,M28,M28+(O28-M28)/(O27-M27)*(N27-M27))</f>
        <v>1.1976190476190476</v>
      </c>
      <c r="O28" s="26">
        <v>1.34</v>
      </c>
      <c r="P28" s="26"/>
      <c r="Q28" s="26"/>
      <c r="R28" s="26"/>
      <c r="S28" s="26"/>
      <c r="T28" s="26"/>
      <c r="U28" s="26"/>
      <c r="V28" s="26">
        <v>1.2</v>
      </c>
      <c r="W28" s="26">
        <v>0.68400000000000005</v>
      </c>
      <c r="X28" s="26">
        <f>IF(W27=Y27,W28,W28+(Y28-W28)/(Y27-W27)*(X27-W27))</f>
        <v>0.71020930232558144</v>
      </c>
      <c r="Y28" s="26">
        <v>0.84499999999999997</v>
      </c>
      <c r="Z28" s="26"/>
      <c r="AA28" s="26">
        <v>2</v>
      </c>
      <c r="AB28" s="26">
        <v>0.41499999999999998</v>
      </c>
      <c r="AC28" s="26">
        <f>IF(AB27=AD27,AB28,AB28+(AD28-AB28)/(AD27-AB27)*(AC27-AB27))</f>
        <v>0.49278571428571427</v>
      </c>
      <c r="AD28" s="26">
        <v>0.51400000000000001</v>
      </c>
    </row>
    <row r="29" spans="1:30">
      <c r="A29" s="22" t="s">
        <v>50</v>
      </c>
      <c r="B29" s="26">
        <f>'DB800'!AB17/D24</f>
        <v>1.0340301678358998</v>
      </c>
      <c r="C29" s="26">
        <f>C28+(C30-C28)/(B30-B28)*(B29-B28)</f>
        <v>0.79105054174584455</v>
      </c>
      <c r="D29" s="27">
        <f>IF(C27=E27,C29,C29+(E29-C29)/(E27-C27)*(D27-C27))</f>
        <v>0.90295200901827444</v>
      </c>
      <c r="E29" s="26">
        <f>E28+(E30-E28)/(B30-B28)*(B29-B28)</f>
        <v>0.97362661992717758</v>
      </c>
      <c r="F29" s="26"/>
      <c r="G29" s="26">
        <f>'DB900'!AB17/I24</f>
        <v>1.1191082498646696</v>
      </c>
      <c r="H29" s="26">
        <f>H28+(H30-H28)/(G30-G28)*(G29-G28)</f>
        <v>0.73617517883728811</v>
      </c>
      <c r="I29" s="27">
        <f>IF(H27=J27,H29,H29+(J29-H29)/(J27-H27)*(I27-H27))</f>
        <v>0.80287581731635205</v>
      </c>
      <c r="J29" s="26">
        <f>J28+(J30-J28)/(G30-G28)*(G29-G28)</f>
        <v>0.90769110635488104</v>
      </c>
      <c r="K29" s="26"/>
      <c r="L29" s="26">
        <f>'DB588'!AB17/N24</f>
        <v>0.97312511496442688</v>
      </c>
      <c r="M29" s="26">
        <f>M28+(M30-M28)/(L30-L28)*(L29-L28)</f>
        <v>1.0295623735391304</v>
      </c>
      <c r="N29" s="27">
        <f>IF(M27=O27,M29,M29+(O29-M29)/(O27-M27)*(N27-M27))</f>
        <v>1.111609983827555</v>
      </c>
      <c r="O29" s="26">
        <f>O28+(O30-O28)/(L30-L28)*(L29-L28)</f>
        <v>1.2449373505462451</v>
      </c>
      <c r="P29" s="25"/>
      <c r="Q29" s="25"/>
      <c r="R29" s="25"/>
      <c r="S29" s="25"/>
      <c r="T29" s="26"/>
      <c r="U29" s="26"/>
      <c r="V29" s="26">
        <f>'CW1'!AB17/X24</f>
        <v>1.2713663098835977</v>
      </c>
      <c r="W29" s="26">
        <f>W28+(W30-W28)/(V30-V28)*(V29-V28)</f>
        <v>0.65010100280529115</v>
      </c>
      <c r="X29" s="27">
        <f>IF(W27=Y27,W29,W29+(Y29-W29)/(Y27-W27)*(X27-W27))</f>
        <v>0.67509043913635058</v>
      </c>
      <c r="Y29" s="26">
        <f>Y28+(Y30-Y28)/(V30-V28)*(V29-V28)</f>
        <v>0.80360754026751335</v>
      </c>
      <c r="Z29" s="26"/>
      <c r="AA29" s="26">
        <f>'CW2'!AB17/AC24</f>
        <v>2.0236976369495165</v>
      </c>
      <c r="AB29" s="26">
        <f>AB28+(AB30-AB28)/(AA30-AA28)*(AA29-AA28)</f>
        <v>0.41061593716433942</v>
      </c>
      <c r="AC29" s="27">
        <f>IF(AB27=AD27,AB29,AB29+(AD29-AB29)/(AD27-AB27)*(AC27-AB27))</f>
        <v>0.48756377071505297</v>
      </c>
      <c r="AD29" s="26">
        <f>AD28+(AD30-AD28)/(AA30-AA28)*(AA29-AA28)</f>
        <v>0.50854954350161119</v>
      </c>
    </row>
    <row r="30" spans="1:30">
      <c r="B30" s="26">
        <v>1.2</v>
      </c>
      <c r="C30" s="26">
        <v>0.68400000000000005</v>
      </c>
      <c r="D30" s="26">
        <f>IF(C27=E27,C30,C30+(E30-C30)/(E27-C27)*(D27-C27))</f>
        <v>0.7826774193548387</v>
      </c>
      <c r="E30" s="26">
        <v>0.84499999999999997</v>
      </c>
      <c r="F30" s="26"/>
      <c r="G30" s="26">
        <v>1.2</v>
      </c>
      <c r="H30" s="26">
        <v>0.68400000000000005</v>
      </c>
      <c r="I30" s="26">
        <f>IF(H27=J27,H30,H30+(J30-H30)/(J27-H27)*(I27-H27))</f>
        <v>0.74661111111111111</v>
      </c>
      <c r="J30" s="26">
        <v>0.84499999999999997</v>
      </c>
      <c r="K30" s="26"/>
      <c r="L30" s="26">
        <v>1</v>
      </c>
      <c r="M30" s="26">
        <v>1</v>
      </c>
      <c r="N30" s="26">
        <f>IF(M27=O27,M30,M30+(O30-M30)/(O27-M27)*(N27-M27))</f>
        <v>1.0799999999999998</v>
      </c>
      <c r="O30" s="26">
        <v>1.21</v>
      </c>
      <c r="P30" s="25"/>
      <c r="Q30" s="25"/>
      <c r="R30" s="25"/>
      <c r="S30" s="25"/>
      <c r="T30" s="26"/>
      <c r="U30" s="26"/>
      <c r="V30" s="26">
        <v>1.4</v>
      </c>
      <c r="W30" s="26">
        <v>0.58899999999999997</v>
      </c>
      <c r="X30" s="26">
        <f>IF(W27=Y27,W30,W30+(Y30-W30)/(Y27-W27)*(X27-W27))</f>
        <v>0.61179069767441852</v>
      </c>
      <c r="Y30" s="26">
        <v>0.72899999999999998</v>
      </c>
      <c r="Z30" s="26"/>
      <c r="AA30" s="26">
        <v>2.2000000000000002</v>
      </c>
      <c r="AB30" s="26">
        <v>0.378</v>
      </c>
      <c r="AC30" s="26">
        <f>IF(AB27=AD27,AB30,AB30+(AD30-AB30)/(AD27-AB27)*(AC27-AB27))</f>
        <v>0.44871428571428573</v>
      </c>
      <c r="AD30" s="26">
        <v>0.46800000000000003</v>
      </c>
    </row>
    <row r="31" spans="1:30">
      <c r="P31" s="25"/>
      <c r="Q31" s="25"/>
      <c r="R31" s="25"/>
      <c r="S31" s="25"/>
    </row>
    <row r="32" spans="1:30">
      <c r="A32" s="22" t="s">
        <v>47</v>
      </c>
      <c r="B32" s="26"/>
      <c r="D32" s="26">
        <f>D29</f>
        <v>0.90295200901827444</v>
      </c>
      <c r="G32" s="26"/>
      <c r="I32" s="26">
        <f>I29</f>
        <v>0.80287581731635205</v>
      </c>
      <c r="L32" s="26"/>
      <c r="N32" s="26">
        <f>N29</f>
        <v>1.111609983827555</v>
      </c>
      <c r="P32" s="25"/>
      <c r="Q32" s="25"/>
      <c r="R32" s="25"/>
      <c r="S32" s="25"/>
      <c r="V32" s="26"/>
      <c r="X32" s="26">
        <f>X29</f>
        <v>0.67509043913635058</v>
      </c>
      <c r="AA32" s="26"/>
      <c r="AC32" s="26">
        <f>AC29</f>
        <v>0.48756377071505297</v>
      </c>
    </row>
    <row r="33" spans="1:29" ht="17.25" customHeight="1">
      <c r="A33" s="58" t="s">
        <v>141</v>
      </c>
      <c r="D33" s="28">
        <v>1</v>
      </c>
      <c r="I33" s="28">
        <v>1</v>
      </c>
      <c r="N33" s="28">
        <v>1</v>
      </c>
      <c r="P33" s="25"/>
      <c r="Q33" s="25"/>
      <c r="R33" s="25"/>
      <c r="S33" s="25"/>
      <c r="V33" s="23">
        <f>'CW1'!AB17/X24</f>
        <v>1.2713663098835977</v>
      </c>
      <c r="X33" s="28">
        <v>1</v>
      </c>
      <c r="AC33" s="28">
        <v>1</v>
      </c>
    </row>
    <row r="34" spans="1:29">
      <c r="A34" s="22" t="s">
        <v>48</v>
      </c>
      <c r="D34" s="23">
        <f>D24/25.4</f>
        <v>24.409448818897641</v>
      </c>
      <c r="I34" s="23">
        <f>I24/25.4</f>
        <v>28.346456692913389</v>
      </c>
      <c r="N34" s="23">
        <f>N24/25.4</f>
        <v>16.535433070866144</v>
      </c>
      <c r="P34" s="25"/>
      <c r="Q34" s="25"/>
      <c r="R34" s="25"/>
      <c r="S34" s="25"/>
      <c r="X34" s="23">
        <f>X24/25.4</f>
        <v>33.858267716535437</v>
      </c>
      <c r="AC34" s="23">
        <f>AC24/25.4</f>
        <v>22.047244094488189</v>
      </c>
    </row>
    <row r="35" spans="1:29">
      <c r="A35" s="22" t="s">
        <v>51</v>
      </c>
      <c r="D35" s="23">
        <f>D23/(0.75*D32*D33*D34)</f>
        <v>8.0907864739329245</v>
      </c>
      <c r="I35" s="23">
        <f>I23/(0.75*I32*I33*I34)</f>
        <v>10.022783342673637</v>
      </c>
      <c r="N35" s="23">
        <f>N23/(0.75*N32*N33*N34)</f>
        <v>5.1086025687143035</v>
      </c>
      <c r="P35" s="25"/>
      <c r="Q35" s="25"/>
      <c r="R35" s="25"/>
      <c r="S35" s="25"/>
      <c r="V35" s="23">
        <f>(35.3+3.6)/(X24/25.4)</f>
        <v>1.148906976744186</v>
      </c>
      <c r="X35" s="23">
        <f>X23/(0.75*X32*X33*X34)</f>
        <v>13.999846898718685</v>
      </c>
      <c r="AC35" s="23">
        <f>AC23/(0.75*AC32*AC33*AC34)</f>
        <v>7.8143624051727967</v>
      </c>
    </row>
    <row r="36" spans="1:29">
      <c r="A36" s="22" t="s">
        <v>32</v>
      </c>
      <c r="D36" s="42">
        <f>D35/16*25.4</f>
        <v>12.844123527368517</v>
      </c>
      <c r="I36" s="42">
        <f>I35/16*25.4</f>
        <v>15.911168556494399</v>
      </c>
      <c r="N36" s="42">
        <f>N35/16*25.4</f>
        <v>8.1099065778339572</v>
      </c>
      <c r="P36" s="25"/>
      <c r="Q36" s="25"/>
      <c r="R36" s="25"/>
      <c r="S36" s="25"/>
      <c r="X36" s="42">
        <f>X35/16*25.4</f>
        <v>22.224756951715911</v>
      </c>
      <c r="AC36" s="42">
        <f>AC35/16*25.4</f>
        <v>12.405300318211815</v>
      </c>
    </row>
  </sheetData>
  <mergeCells count="12">
    <mergeCell ref="AA21:AD21"/>
    <mergeCell ref="B21:E21"/>
    <mergeCell ref="G21:J21"/>
    <mergeCell ref="L21:O21"/>
    <mergeCell ref="Q21:T21"/>
    <mergeCell ref="V21:Y21"/>
    <mergeCell ref="AA1:AD1"/>
    <mergeCell ref="V1:Y1"/>
    <mergeCell ref="B1:E1"/>
    <mergeCell ref="G1:J1"/>
    <mergeCell ref="L1:O1"/>
    <mergeCell ref="Q1:T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E0DE-5BF7-42E7-BFBC-ADB5264D1ECD}">
  <dimension ref="A1:AD45"/>
  <sheetViews>
    <sheetView zoomScale="85" zoomScaleNormal="85" workbookViewId="0">
      <pane xSplit="3" ySplit="2" topLeftCell="D3" activePane="bottomRight" state="frozen"/>
      <selection activeCell="R45" sqref="R45"/>
      <selection pane="topRight" activeCell="R45" sqref="R45"/>
      <selection pane="bottomLeft" activeCell="R45" sqref="R45"/>
      <selection pane="bottomRight"/>
    </sheetView>
  </sheetViews>
  <sheetFormatPr defaultColWidth="8.5" defaultRowHeight="16.5"/>
  <cols>
    <col min="1" max="1" width="5.75" style="23" customWidth="1"/>
    <col min="2" max="2" width="7.5" style="23" customWidth="1"/>
    <col min="3" max="3" width="6.25" style="23" customWidth="1"/>
    <col min="4" max="30" width="9.125" style="23" customWidth="1"/>
    <col min="31" max="16384" width="8.5" style="23"/>
  </cols>
  <sheetData>
    <row r="1" spans="1:30" ht="16.5" customHeight="1">
      <c r="B1" s="72"/>
      <c r="C1" s="84" t="s">
        <v>3</v>
      </c>
      <c r="D1" s="84" t="s">
        <v>49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</row>
    <row r="2" spans="1:30">
      <c r="C2" s="84"/>
      <c r="D2" s="82">
        <f>0/460</f>
        <v>0</v>
      </c>
      <c r="E2" s="82"/>
      <c r="F2" s="82"/>
      <c r="G2" s="82">
        <f>50/460</f>
        <v>0.10869565217391304</v>
      </c>
      <c r="H2" s="82"/>
      <c r="I2" s="82"/>
      <c r="J2" s="82">
        <f>90/460</f>
        <v>0.19565217391304349</v>
      </c>
      <c r="K2" s="82"/>
      <c r="L2" s="82"/>
      <c r="M2" s="82">
        <f>140/460</f>
        <v>0.30434782608695654</v>
      </c>
      <c r="N2" s="82"/>
      <c r="O2" s="82"/>
      <c r="P2" s="82">
        <f>230/460</f>
        <v>0.5</v>
      </c>
      <c r="Q2" s="82"/>
      <c r="R2" s="82"/>
      <c r="S2" s="82">
        <f>350/460</f>
        <v>0.76086956521739135</v>
      </c>
      <c r="T2" s="82"/>
      <c r="U2" s="82"/>
      <c r="V2" s="82">
        <f>460/460</f>
        <v>1</v>
      </c>
      <c r="W2" s="82"/>
      <c r="X2" s="82"/>
      <c r="Y2" s="83">
        <f>690/460</f>
        <v>1.5</v>
      </c>
      <c r="Z2" s="83"/>
      <c r="AA2" s="83"/>
      <c r="AB2" s="83">
        <f>920/460</f>
        <v>2</v>
      </c>
      <c r="AC2" s="83"/>
      <c r="AD2" s="83"/>
    </row>
    <row r="3" spans="1:30">
      <c r="A3" s="84" t="s">
        <v>160</v>
      </c>
      <c r="B3" s="84"/>
      <c r="C3" s="82">
        <v>0</v>
      </c>
      <c r="D3" s="74">
        <v>4386.777067</v>
      </c>
      <c r="E3" s="61"/>
      <c r="F3" s="61"/>
      <c r="G3" s="61">
        <v>5325.0898010000001</v>
      </c>
      <c r="H3" s="61"/>
      <c r="I3" s="61"/>
      <c r="J3" s="61">
        <v>6112.8804090000003</v>
      </c>
      <c r="K3" s="61"/>
      <c r="L3" s="61"/>
      <c r="M3" s="61">
        <v>7877.4726719999999</v>
      </c>
      <c r="N3" s="61"/>
      <c r="O3" s="61"/>
      <c r="P3" s="61">
        <v>8701.3420370000003</v>
      </c>
      <c r="Q3" s="61"/>
      <c r="R3" s="61"/>
      <c r="S3" s="61">
        <v>11190.494828999999</v>
      </c>
      <c r="T3" s="61"/>
      <c r="U3" s="61"/>
      <c r="V3" s="61">
        <v>12123.972040000001</v>
      </c>
      <c r="W3" s="61"/>
      <c r="X3" s="61"/>
      <c r="Y3" s="61">
        <v>15795.769243999999</v>
      </c>
      <c r="Z3" s="61"/>
      <c r="AA3" s="61"/>
      <c r="AB3" s="61">
        <v>17915.523781</v>
      </c>
      <c r="AC3" s="61"/>
      <c r="AD3" s="61"/>
    </row>
    <row r="4" spans="1:30">
      <c r="A4" s="80" t="s">
        <v>161</v>
      </c>
      <c r="B4" s="71" t="s">
        <v>156</v>
      </c>
      <c r="C4" s="82"/>
      <c r="D4" s="61">
        <v>713.49543500000004</v>
      </c>
      <c r="E4" s="61"/>
      <c r="F4" s="61"/>
      <c r="G4" s="61">
        <v>851.98971800000004</v>
      </c>
      <c r="H4" s="61"/>
      <c r="I4" s="61"/>
      <c r="J4" s="61">
        <v>1036.1836470000001</v>
      </c>
      <c r="K4" s="61"/>
      <c r="L4" s="61"/>
      <c r="M4" s="61">
        <v>1265.817505</v>
      </c>
      <c r="N4" s="61"/>
      <c r="O4" s="61"/>
      <c r="P4" s="61">
        <v>1685.6397770000001</v>
      </c>
      <c r="Q4" s="61"/>
      <c r="R4" s="61"/>
      <c r="S4" s="61">
        <v>2244.239591</v>
      </c>
      <c r="T4" s="61"/>
      <c r="U4" s="61"/>
      <c r="V4" s="61">
        <v>2758.5741600000001</v>
      </c>
      <c r="W4" s="61"/>
      <c r="X4" s="61"/>
      <c r="Y4" s="61">
        <v>3832.8217949999998</v>
      </c>
      <c r="Z4" s="61"/>
      <c r="AA4" s="61"/>
      <c r="AB4" s="61">
        <v>4908.9029</v>
      </c>
      <c r="AC4" s="61"/>
      <c r="AD4" s="61"/>
    </row>
    <row r="5" spans="1:30">
      <c r="A5" s="81"/>
      <c r="B5" s="69" t="s">
        <v>157</v>
      </c>
      <c r="C5" s="82"/>
      <c r="D5" s="61">
        <v>712.84646850000001</v>
      </c>
      <c r="E5" s="61"/>
      <c r="F5" s="61"/>
      <c r="G5" s="61">
        <v>850.76690231756527</v>
      </c>
      <c r="H5" s="61"/>
      <c r="I5" s="61"/>
      <c r="J5" s="61">
        <v>1034.3119815552245</v>
      </c>
      <c r="K5" s="61"/>
      <c r="L5" s="61"/>
      <c r="M5" s="61">
        <v>1263.4818167431954</v>
      </c>
      <c r="N5" s="61"/>
      <c r="O5" s="61"/>
      <c r="P5" s="61">
        <v>1681.5644235077448</v>
      </c>
      <c r="Q5" s="61"/>
      <c r="R5" s="61"/>
      <c r="S5" s="61">
        <v>2238.8848595562772</v>
      </c>
      <c r="T5" s="61"/>
      <c r="U5" s="61"/>
      <c r="V5" s="61">
        <v>2751.5486406262207</v>
      </c>
      <c r="W5" s="61"/>
      <c r="X5" s="61"/>
      <c r="Y5" s="61">
        <v>3824.0329165118019</v>
      </c>
      <c r="Z5" s="61"/>
      <c r="AA5" s="61"/>
      <c r="AB5" s="61">
        <v>4897.976461152376</v>
      </c>
      <c r="AC5" s="61"/>
      <c r="AD5" s="61"/>
    </row>
    <row r="6" spans="1:30">
      <c r="A6" s="81"/>
      <c r="B6" s="69" t="s">
        <v>158</v>
      </c>
      <c r="C6" s="82"/>
      <c r="D6" s="61">
        <v>707.89853056482787</v>
      </c>
      <c r="E6" s="61"/>
      <c r="F6" s="61"/>
      <c r="G6" s="61">
        <v>863.94067977535462</v>
      </c>
      <c r="H6" s="61"/>
      <c r="I6" s="61"/>
      <c r="J6" s="61">
        <v>1016.1769229075757</v>
      </c>
      <c r="K6" s="61"/>
      <c r="L6" s="61"/>
      <c r="M6" s="61">
        <v>1246.0205552017658</v>
      </c>
      <c r="N6" s="61"/>
      <c r="O6" s="61"/>
      <c r="P6" s="61">
        <v>1659.3750501412096</v>
      </c>
      <c r="Q6" s="61"/>
      <c r="R6" s="61"/>
      <c r="S6" s="61">
        <v>2211.562379850146</v>
      </c>
      <c r="T6" s="61"/>
      <c r="U6" s="61"/>
      <c r="V6" s="61">
        <v>2721.2228459884523</v>
      </c>
      <c r="W6" s="61"/>
      <c r="X6" s="61"/>
      <c r="Y6" s="61">
        <v>3781.16768879654</v>
      </c>
      <c r="Z6" s="61"/>
      <c r="AA6" s="61"/>
      <c r="AB6" s="61">
        <v>4833.5007194480177</v>
      </c>
      <c r="AC6" s="61"/>
      <c r="AD6" s="61"/>
    </row>
    <row r="7" spans="1:30">
      <c r="A7" s="84" t="s">
        <v>159</v>
      </c>
      <c r="B7" s="84"/>
      <c r="C7" s="82"/>
      <c r="D7" s="75" t="s">
        <v>163</v>
      </c>
      <c r="E7" s="61"/>
      <c r="F7" s="61"/>
      <c r="G7" s="75" t="s">
        <v>162</v>
      </c>
      <c r="H7" s="61"/>
      <c r="I7" s="61"/>
      <c r="J7" s="75" t="s">
        <v>162</v>
      </c>
      <c r="K7" s="61"/>
      <c r="L7" s="61"/>
      <c r="M7" s="75" t="s">
        <v>162</v>
      </c>
      <c r="N7" s="61"/>
      <c r="O7" s="61"/>
      <c r="P7" s="75" t="s">
        <v>162</v>
      </c>
      <c r="Q7" s="61"/>
      <c r="R7" s="61"/>
      <c r="S7" s="75" t="s">
        <v>162</v>
      </c>
      <c r="T7" s="61"/>
      <c r="U7" s="61"/>
      <c r="V7" s="75" t="s">
        <v>162</v>
      </c>
      <c r="W7" s="61"/>
      <c r="X7" s="61"/>
      <c r="Y7" s="75" t="s">
        <v>162</v>
      </c>
      <c r="Z7" s="61"/>
      <c r="AA7" s="61"/>
      <c r="AB7" s="75" t="s">
        <v>162</v>
      </c>
      <c r="AC7" s="61"/>
      <c r="AD7" s="61"/>
    </row>
    <row r="8" spans="1:30" ht="7.5" customHeight="1">
      <c r="A8" s="70"/>
      <c r="B8" s="70"/>
      <c r="C8" s="73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</row>
    <row r="9" spans="1:30">
      <c r="C9" s="73"/>
      <c r="D9" s="82">
        <f>0/460</f>
        <v>0</v>
      </c>
      <c r="E9" s="82"/>
      <c r="F9" s="82"/>
      <c r="G9" s="82">
        <f>50/460</f>
        <v>0.10869565217391304</v>
      </c>
      <c r="H9" s="82"/>
      <c r="I9" s="82"/>
      <c r="J9" s="82">
        <f>90/460</f>
        <v>0.19565217391304349</v>
      </c>
      <c r="K9" s="82"/>
      <c r="L9" s="82"/>
      <c r="M9" s="82">
        <f>140/460</f>
        <v>0.30434782608695654</v>
      </c>
      <c r="N9" s="82"/>
      <c r="O9" s="82"/>
      <c r="P9" s="82">
        <f>230/460</f>
        <v>0.5</v>
      </c>
      <c r="Q9" s="82"/>
      <c r="R9" s="82"/>
      <c r="S9" s="82">
        <f>350/460</f>
        <v>0.76086956521739135</v>
      </c>
      <c r="T9" s="82"/>
      <c r="U9" s="82"/>
      <c r="V9" s="82">
        <f>460/460</f>
        <v>1</v>
      </c>
      <c r="W9" s="82"/>
      <c r="X9" s="82"/>
      <c r="Y9" s="83">
        <f>690/460</f>
        <v>1.5</v>
      </c>
      <c r="Z9" s="83"/>
      <c r="AA9" s="83"/>
      <c r="AB9" s="83">
        <f>920/460</f>
        <v>2</v>
      </c>
      <c r="AC9" s="83"/>
      <c r="AD9" s="83"/>
    </row>
    <row r="10" spans="1:30">
      <c r="A10" s="84" t="s">
        <v>160</v>
      </c>
      <c r="B10" s="84"/>
      <c r="C10" s="82">
        <v>0.5</v>
      </c>
      <c r="D10" s="61">
        <v>61.754969000000003</v>
      </c>
      <c r="E10" s="61"/>
      <c r="F10" s="61"/>
      <c r="G10" s="61">
        <v>128.33908299999999</v>
      </c>
      <c r="H10" s="61"/>
      <c r="I10" s="61"/>
      <c r="J10" s="61">
        <v>175.932062</v>
      </c>
      <c r="K10" s="61"/>
      <c r="L10" s="61"/>
      <c r="M10" s="61">
        <v>230.51379700000001</v>
      </c>
      <c r="N10" s="61"/>
      <c r="O10" s="61"/>
      <c r="P10" s="61">
        <v>323.66960899999998</v>
      </c>
      <c r="Q10" s="61"/>
      <c r="R10" s="61"/>
      <c r="S10" s="61">
        <v>440.80036999999999</v>
      </c>
      <c r="T10" s="61"/>
      <c r="U10" s="61"/>
      <c r="V10" s="61">
        <v>546.97610599999996</v>
      </c>
      <c r="W10" s="61"/>
      <c r="X10" s="61"/>
      <c r="Y10" s="61">
        <v>771.78458799999999</v>
      </c>
      <c r="Z10" s="61"/>
      <c r="AA10" s="61"/>
      <c r="AB10" s="61">
        <v>1001.676148</v>
      </c>
      <c r="AC10" s="61"/>
      <c r="AD10" s="61"/>
    </row>
    <row r="11" spans="1:30">
      <c r="A11" s="80" t="s">
        <v>161</v>
      </c>
      <c r="B11" s="71" t="s">
        <v>156</v>
      </c>
      <c r="C11" s="82"/>
      <c r="D11" s="61">
        <v>444.23433899999998</v>
      </c>
      <c r="E11" s="61"/>
      <c r="F11" s="61"/>
      <c r="G11" s="61">
        <v>575.57562499999995</v>
      </c>
      <c r="H11" s="61"/>
      <c r="I11" s="61"/>
      <c r="J11" s="61">
        <v>688.10658799999999</v>
      </c>
      <c r="K11" s="61"/>
      <c r="L11" s="61"/>
      <c r="M11" s="61">
        <v>832.82800399999996</v>
      </c>
      <c r="N11" s="61"/>
      <c r="O11" s="61"/>
      <c r="P11" s="61">
        <v>1101.5207989999999</v>
      </c>
      <c r="Q11" s="61"/>
      <c r="R11" s="61"/>
      <c r="S11" s="61">
        <v>1485.4390109999999</v>
      </c>
      <c r="T11" s="61"/>
      <c r="U11" s="61"/>
      <c r="V11" s="61">
        <v>1862.1594339999999</v>
      </c>
      <c r="W11" s="61"/>
      <c r="X11" s="61"/>
      <c r="Y11" s="61">
        <v>2710.4447060000002</v>
      </c>
      <c r="Z11" s="61"/>
      <c r="AA11" s="61"/>
      <c r="AB11" s="61">
        <v>3615.9063420000002</v>
      </c>
      <c r="AC11" s="61"/>
      <c r="AD11" s="61"/>
    </row>
    <row r="12" spans="1:30">
      <c r="A12" s="81"/>
      <c r="B12" s="69" t="s">
        <v>157</v>
      </c>
      <c r="C12" s="82"/>
      <c r="D12" s="61">
        <v>444.23433176860135</v>
      </c>
      <c r="E12" s="61"/>
      <c r="F12" s="61"/>
      <c r="G12" s="61">
        <v>575.57562182066908</v>
      </c>
      <c r="H12" s="61"/>
      <c r="I12" s="61"/>
      <c r="J12" s="61">
        <v>688.10658913698683</v>
      </c>
      <c r="K12" s="61"/>
      <c r="L12" s="61"/>
      <c r="M12" s="61">
        <v>832.82785849510856</v>
      </c>
      <c r="N12" s="61"/>
      <c r="O12" s="61"/>
      <c r="P12" s="61">
        <v>1101.5208049252965</v>
      </c>
      <c r="Q12" s="61"/>
      <c r="R12" s="61"/>
      <c r="S12" s="61">
        <v>1485.4389902496318</v>
      </c>
      <c r="T12" s="61"/>
      <c r="U12" s="61"/>
      <c r="V12" s="61">
        <v>1862.1594840541866</v>
      </c>
      <c r="W12" s="61"/>
      <c r="X12" s="61"/>
      <c r="Y12" s="61">
        <v>2710.4447356745704</v>
      </c>
      <c r="Z12" s="61"/>
      <c r="AA12" s="61"/>
      <c r="AB12" s="61">
        <v>3615.9065120183182</v>
      </c>
      <c r="AC12" s="61"/>
      <c r="AD12" s="61"/>
    </row>
    <row r="13" spans="1:30">
      <c r="A13" s="81"/>
      <c r="B13" s="69" t="s">
        <v>158</v>
      </c>
      <c r="C13" s="82"/>
      <c r="D13" s="61">
        <v>437.6791990051355</v>
      </c>
      <c r="E13" s="61"/>
      <c r="F13" s="61"/>
      <c r="G13" s="61">
        <v>566.58358313557051</v>
      </c>
      <c r="H13" s="61"/>
      <c r="I13" s="61"/>
      <c r="J13" s="61">
        <v>675.79654016520738</v>
      </c>
      <c r="K13" s="61"/>
      <c r="L13" s="61"/>
      <c r="M13" s="61">
        <v>820.25549696349981</v>
      </c>
      <c r="N13" s="61"/>
      <c r="O13" s="61"/>
      <c r="P13" s="61">
        <v>1084.6832323170752</v>
      </c>
      <c r="Q13" s="61"/>
      <c r="R13" s="61"/>
      <c r="S13" s="61">
        <v>1462.7917274878632</v>
      </c>
      <c r="T13" s="61"/>
      <c r="U13" s="61"/>
      <c r="V13" s="61">
        <v>1834.4467297432636</v>
      </c>
      <c r="W13" s="61"/>
      <c r="X13" s="61"/>
      <c r="Y13" s="61">
        <v>2669.8431139313266</v>
      </c>
      <c r="Z13" s="61"/>
      <c r="AA13" s="61"/>
      <c r="AB13" s="61">
        <v>3558.5221832156667</v>
      </c>
      <c r="AC13" s="61"/>
      <c r="AD13" s="61"/>
    </row>
    <row r="14" spans="1:30">
      <c r="A14" s="84" t="s">
        <v>159</v>
      </c>
      <c r="B14" s="84"/>
      <c r="C14" s="82"/>
      <c r="D14" s="75" t="s">
        <v>168</v>
      </c>
      <c r="E14" s="61"/>
      <c r="F14" s="61"/>
      <c r="G14" s="75" t="s">
        <v>168</v>
      </c>
      <c r="H14" s="61"/>
      <c r="I14" s="61"/>
      <c r="J14" s="75" t="s">
        <v>168</v>
      </c>
      <c r="K14" s="61"/>
      <c r="L14" s="61"/>
      <c r="M14" s="75" t="s">
        <v>162</v>
      </c>
      <c r="N14" s="61"/>
      <c r="O14" s="61"/>
      <c r="P14" s="75" t="s">
        <v>162</v>
      </c>
      <c r="Q14" s="61"/>
      <c r="R14" s="61"/>
      <c r="S14" s="75" t="s">
        <v>162</v>
      </c>
      <c r="T14" s="61"/>
      <c r="U14" s="61"/>
      <c r="V14" s="75" t="s">
        <v>162</v>
      </c>
      <c r="W14" s="61"/>
      <c r="X14" s="61"/>
      <c r="Y14" s="75" t="s">
        <v>162</v>
      </c>
      <c r="Z14" s="61"/>
      <c r="AA14" s="61"/>
      <c r="AB14" s="75" t="s">
        <v>162</v>
      </c>
      <c r="AC14" s="61"/>
      <c r="AD14" s="61"/>
    </row>
    <row r="15" spans="1:30" ht="7.5" customHeight="1">
      <c r="A15" s="70"/>
      <c r="B15" s="70"/>
      <c r="C15" s="73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>
      <c r="C16" s="73"/>
      <c r="D16" s="82">
        <f>0/460</f>
        <v>0</v>
      </c>
      <c r="E16" s="82"/>
      <c r="F16" s="82"/>
      <c r="G16" s="82">
        <f>50/460</f>
        <v>0.10869565217391304</v>
      </c>
      <c r="H16" s="82"/>
      <c r="I16" s="82"/>
      <c r="J16" s="82">
        <f>90/460</f>
        <v>0.19565217391304349</v>
      </c>
      <c r="K16" s="82"/>
      <c r="L16" s="82"/>
      <c r="M16" s="82">
        <f>140/460</f>
        <v>0.30434782608695654</v>
      </c>
      <c r="N16" s="82"/>
      <c r="O16" s="82"/>
      <c r="P16" s="82">
        <f>230/460</f>
        <v>0.5</v>
      </c>
      <c r="Q16" s="82"/>
      <c r="R16" s="82"/>
      <c r="S16" s="82">
        <f>350/460</f>
        <v>0.76086956521739135</v>
      </c>
      <c r="T16" s="82"/>
      <c r="U16" s="82"/>
      <c r="V16" s="82">
        <f>460/460</f>
        <v>1</v>
      </c>
      <c r="W16" s="82"/>
      <c r="X16" s="82"/>
      <c r="Y16" s="83">
        <f>690/460</f>
        <v>1.5</v>
      </c>
      <c r="Z16" s="83"/>
      <c r="AA16" s="83"/>
      <c r="AB16" s="83">
        <f>920/460</f>
        <v>2</v>
      </c>
      <c r="AC16" s="83"/>
      <c r="AD16" s="83"/>
    </row>
    <row r="17" spans="1:30">
      <c r="A17" s="84" t="s">
        <v>160</v>
      </c>
      <c r="B17" s="84"/>
      <c r="C17" s="82">
        <v>1</v>
      </c>
      <c r="D17" s="61">
        <v>-183.25049999999999</v>
      </c>
      <c r="E17" s="61">
        <v>-30.222064</v>
      </c>
      <c r="F17" s="61">
        <v>25.249766000000001</v>
      </c>
      <c r="G17" s="61">
        <v>-114.85840399999999</v>
      </c>
      <c r="H17" s="61">
        <v>6.0241559999999996</v>
      </c>
      <c r="I17" s="61">
        <v>80.511392999999998</v>
      </c>
      <c r="J17" s="61">
        <v>-61.364004999999999</v>
      </c>
      <c r="K17" s="61">
        <v>31.794038</v>
      </c>
      <c r="L17" s="61">
        <v>121.642927</v>
      </c>
      <c r="M17" s="61">
        <v>27.514572999999999</v>
      </c>
      <c r="N17" s="61">
        <v>52.701369999999997</v>
      </c>
      <c r="O17" s="61">
        <v>170.156801</v>
      </c>
      <c r="P17" s="61">
        <v>253.352857</v>
      </c>
      <c r="Q17" s="61"/>
      <c r="R17" s="61"/>
      <c r="S17" s="61">
        <v>222.37053800000001</v>
      </c>
      <c r="T17" s="61">
        <v>322.07383299999998</v>
      </c>
      <c r="U17" s="61">
        <v>361.71164199999998</v>
      </c>
      <c r="V17" s="61">
        <v>292.747184</v>
      </c>
      <c r="W17" s="61">
        <v>456.86380200000002</v>
      </c>
      <c r="X17" s="61">
        <v>461.82438000000002</v>
      </c>
      <c r="Y17" s="61">
        <v>447.60588799999999</v>
      </c>
      <c r="Z17" s="61"/>
      <c r="AA17" s="61"/>
      <c r="AB17" s="61">
        <v>613.91925300000003</v>
      </c>
      <c r="AC17" s="61"/>
      <c r="AD17" s="61"/>
    </row>
    <row r="18" spans="1:30" ht="17.25" customHeight="1">
      <c r="A18" s="80" t="s">
        <v>161</v>
      </c>
      <c r="B18" s="71" t="s">
        <v>156</v>
      </c>
      <c r="C18" s="82"/>
      <c r="D18" s="61">
        <v>677.104874</v>
      </c>
      <c r="E18" s="61">
        <v>281.26589799999999</v>
      </c>
      <c r="F18" s="61">
        <v>247.14764299999999</v>
      </c>
      <c r="G18" s="61">
        <v>757.98322499999995</v>
      </c>
      <c r="H18" s="61">
        <v>374.655303</v>
      </c>
      <c r="I18" s="61">
        <v>320.62239499999998</v>
      </c>
      <c r="J18" s="61">
        <v>780.69317000000001</v>
      </c>
      <c r="K18" s="61">
        <v>458.15975700000001</v>
      </c>
      <c r="L18" s="61">
        <v>385.210306</v>
      </c>
      <c r="M18" s="61">
        <v>680.92260899999997</v>
      </c>
      <c r="N18" s="61">
        <v>599.99191800000006</v>
      </c>
      <c r="O18" s="61">
        <v>472.87086900000003</v>
      </c>
      <c r="P18" s="61">
        <v>645.256122</v>
      </c>
      <c r="Q18" s="61"/>
      <c r="R18" s="61"/>
      <c r="S18" s="61">
        <v>1056.206784</v>
      </c>
      <c r="T18" s="61">
        <v>891.83852200000001</v>
      </c>
      <c r="U18" s="61">
        <v>897.93408899999997</v>
      </c>
      <c r="V18" s="61">
        <v>1372.6599470000001</v>
      </c>
      <c r="W18" s="61">
        <v>1158.7250489999999</v>
      </c>
      <c r="X18" s="61">
        <v>1162.280168</v>
      </c>
      <c r="Y18" s="61">
        <v>2100.434452</v>
      </c>
      <c r="Z18" s="61"/>
      <c r="AA18" s="61"/>
      <c r="AB18" s="61">
        <v>2892.2764269999998</v>
      </c>
      <c r="AC18" s="61"/>
      <c r="AD18" s="61"/>
    </row>
    <row r="19" spans="1:30">
      <c r="A19" s="81"/>
      <c r="B19" s="69" t="s">
        <v>157</v>
      </c>
      <c r="C19" s="82"/>
      <c r="D19" s="61">
        <v>677.1048474714305</v>
      </c>
      <c r="E19" s="61">
        <v>281.2658958014286</v>
      </c>
      <c r="F19" s="61">
        <v>247.14763859570948</v>
      </c>
      <c r="G19" s="61">
        <v>757.98322374068289</v>
      </c>
      <c r="H19" s="61">
        <v>374.65530133101186</v>
      </c>
      <c r="I19" s="61">
        <v>320.62239732069952</v>
      </c>
      <c r="J19" s="61">
        <v>780.69317204770402</v>
      </c>
      <c r="K19" s="61">
        <v>458.15975423584797</v>
      </c>
      <c r="L19" s="61">
        <v>385.21031088506527</v>
      </c>
      <c r="M19" s="61">
        <v>680.9226080937309</v>
      </c>
      <c r="N19" s="61">
        <v>599.9919157464883</v>
      </c>
      <c r="O19" s="61">
        <v>472.87084475274014</v>
      </c>
      <c r="P19" s="61">
        <v>645.25611217532582</v>
      </c>
      <c r="Q19" s="61"/>
      <c r="R19" s="61"/>
      <c r="S19" s="61">
        <v>1056.2067842051108</v>
      </c>
      <c r="T19" s="61">
        <v>891.83814210168191</v>
      </c>
      <c r="U19" s="61">
        <v>897.93409783925995</v>
      </c>
      <c r="V19" s="61">
        <v>1372.6599358579765</v>
      </c>
      <c r="W19" s="61">
        <v>1158.7251517666605</v>
      </c>
      <c r="X19" s="61">
        <v>1162.2803828961933</v>
      </c>
      <c r="Y19" s="61">
        <v>2100.4343895020652</v>
      </c>
      <c r="Z19" s="61"/>
      <c r="AA19" s="61"/>
      <c r="AB19" s="61">
        <v>2892.2764344505563</v>
      </c>
      <c r="AC19" s="61"/>
      <c r="AD19" s="61"/>
    </row>
    <row r="20" spans="1:30">
      <c r="A20" s="81"/>
      <c r="B20" s="69" t="s">
        <v>158</v>
      </c>
      <c r="C20" s="82"/>
      <c r="D20" s="61">
        <v>243.19739840372313</v>
      </c>
      <c r="E20" s="61">
        <v>243.19739840372313</v>
      </c>
      <c r="F20" s="61">
        <v>243.19739840372313</v>
      </c>
      <c r="G20" s="61">
        <v>315.60889839791867</v>
      </c>
      <c r="H20" s="61">
        <v>315.60889839791867</v>
      </c>
      <c r="I20" s="61">
        <v>315.60889839791867</v>
      </c>
      <c r="J20" s="61">
        <v>377.49624071471288</v>
      </c>
      <c r="K20" s="61">
        <v>377.49624071471288</v>
      </c>
      <c r="L20" s="61">
        <v>377.49624071471288</v>
      </c>
      <c r="M20" s="61">
        <v>464.32054155327421</v>
      </c>
      <c r="N20" s="61">
        <v>464.32054155327421</v>
      </c>
      <c r="O20" s="61">
        <v>464.32054155327421</v>
      </c>
      <c r="P20" s="61">
        <v>635.58631507702285</v>
      </c>
      <c r="Q20" s="61"/>
      <c r="R20" s="61"/>
      <c r="S20" s="61">
        <v>884.62495194005839</v>
      </c>
      <c r="T20" s="61">
        <v>884.62495194005839</v>
      </c>
      <c r="U20" s="61">
        <v>884.62495194005839</v>
      </c>
      <c r="V20" s="61">
        <v>1145.5777295699634</v>
      </c>
      <c r="W20" s="61">
        <v>1145.5777295699634</v>
      </c>
      <c r="X20" s="61">
        <v>1145.5777295699634</v>
      </c>
      <c r="Y20" s="61">
        <v>1777.3581385686807</v>
      </c>
      <c r="Z20" s="61"/>
      <c r="AA20" s="61"/>
      <c r="AB20" s="61">
        <v>2496.674387368425</v>
      </c>
      <c r="AC20" s="61"/>
      <c r="AD20" s="61"/>
    </row>
    <row r="21" spans="1:30">
      <c r="A21" s="84" t="s">
        <v>159</v>
      </c>
      <c r="B21" s="84"/>
      <c r="C21" s="82"/>
      <c r="D21" s="75" t="s">
        <v>168</v>
      </c>
      <c r="E21" s="75" t="s">
        <v>168</v>
      </c>
      <c r="F21" s="75" t="s">
        <v>168</v>
      </c>
      <c r="G21" s="75" t="s">
        <v>168</v>
      </c>
      <c r="H21" s="75" t="s">
        <v>168</v>
      </c>
      <c r="I21" s="75" t="s">
        <v>168</v>
      </c>
      <c r="J21" s="75" t="s">
        <v>168</v>
      </c>
      <c r="K21" s="75" t="s">
        <v>168</v>
      </c>
      <c r="L21" s="75" t="s">
        <v>168</v>
      </c>
      <c r="M21" s="75" t="s">
        <v>168</v>
      </c>
      <c r="N21" s="75" t="s">
        <v>168</v>
      </c>
      <c r="O21" s="75" t="s">
        <v>168</v>
      </c>
      <c r="P21" s="75" t="s">
        <v>162</v>
      </c>
      <c r="Q21" s="75"/>
      <c r="R21" s="75"/>
      <c r="S21" s="75" t="s">
        <v>162</v>
      </c>
      <c r="T21" s="75" t="s">
        <v>162</v>
      </c>
      <c r="U21" s="75" t="s">
        <v>162</v>
      </c>
      <c r="V21" s="75" t="s">
        <v>162</v>
      </c>
      <c r="W21" s="75" t="s">
        <v>162</v>
      </c>
      <c r="X21" s="75" t="s">
        <v>162</v>
      </c>
      <c r="Y21" s="75" t="s">
        <v>162</v>
      </c>
      <c r="Z21" s="75"/>
      <c r="AA21" s="75"/>
      <c r="AB21" s="75" t="s">
        <v>167</v>
      </c>
      <c r="AC21" s="75"/>
      <c r="AD21" s="61"/>
    </row>
    <row r="22" spans="1:30" ht="7.5" customHeight="1">
      <c r="A22" s="70"/>
      <c r="B22" s="70"/>
      <c r="C22" s="7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1:30">
      <c r="C23" s="73"/>
      <c r="D23" s="82">
        <f>0/460</f>
        <v>0</v>
      </c>
      <c r="E23" s="82"/>
      <c r="F23" s="82"/>
      <c r="G23" s="82">
        <f>50/460</f>
        <v>0.10869565217391304</v>
      </c>
      <c r="H23" s="82"/>
      <c r="I23" s="82"/>
      <c r="J23" s="82">
        <f>90/460</f>
        <v>0.19565217391304349</v>
      </c>
      <c r="K23" s="82"/>
      <c r="L23" s="82"/>
      <c r="M23" s="82">
        <f>140/460</f>
        <v>0.30434782608695654</v>
      </c>
      <c r="N23" s="82"/>
      <c r="O23" s="82"/>
      <c r="P23" s="82">
        <f>230/460</f>
        <v>0.5</v>
      </c>
      <c r="Q23" s="82"/>
      <c r="R23" s="82"/>
      <c r="S23" s="82">
        <f>350/460</f>
        <v>0.76086956521739135</v>
      </c>
      <c r="T23" s="82"/>
      <c r="U23" s="82"/>
      <c r="V23" s="82">
        <f>460/460</f>
        <v>1</v>
      </c>
      <c r="W23" s="82"/>
      <c r="X23" s="82"/>
      <c r="Y23" s="83">
        <f>690/460</f>
        <v>1.5</v>
      </c>
      <c r="Z23" s="83"/>
      <c r="AA23" s="83"/>
      <c r="AB23" s="83">
        <f>920/460</f>
        <v>2</v>
      </c>
      <c r="AC23" s="83"/>
      <c r="AD23" s="83"/>
    </row>
    <row r="24" spans="1:30">
      <c r="A24" s="84" t="s">
        <v>160</v>
      </c>
      <c r="B24" s="84"/>
      <c r="C24" s="83">
        <v>1.5</v>
      </c>
      <c r="D24" s="61">
        <v>-317.36093299999999</v>
      </c>
      <c r="E24" s="61">
        <v>-16.140544999999999</v>
      </c>
      <c r="F24" s="61">
        <v>15.216151</v>
      </c>
      <c r="G24" s="61">
        <v>-258.60988600000002</v>
      </c>
      <c r="H24" s="61">
        <v>28.748453000000001</v>
      </c>
      <c r="I24" s="61">
        <v>67.713845000000006</v>
      </c>
      <c r="J24" s="61">
        <v>-218.21221299999999</v>
      </c>
      <c r="K24" s="61">
        <v>66.483227999999997</v>
      </c>
      <c r="L24" s="61">
        <v>107.24900100000001</v>
      </c>
      <c r="M24" s="61">
        <v>-171.663028</v>
      </c>
      <c r="N24" s="61">
        <v>117.746962</v>
      </c>
      <c r="O24" s="61">
        <v>154.35443699999999</v>
      </c>
      <c r="P24" s="61">
        <v>-91.586483000000001</v>
      </c>
      <c r="Q24" s="61">
        <v>220.21717000000001</v>
      </c>
      <c r="R24" s="61">
        <v>236.04450800000001</v>
      </c>
      <c r="S24" s="61">
        <v>22.271197999999998</v>
      </c>
      <c r="T24" s="61"/>
      <c r="U24" s="61"/>
      <c r="V24" s="61">
        <v>112.908343</v>
      </c>
      <c r="W24" s="61"/>
      <c r="X24" s="61"/>
      <c r="Y24" s="61">
        <v>261.23593199999999</v>
      </c>
      <c r="Z24" s="61"/>
      <c r="AA24" s="61"/>
      <c r="AB24" s="61">
        <v>403.96870899999999</v>
      </c>
      <c r="AC24" s="61"/>
      <c r="AD24" s="61"/>
    </row>
    <row r="25" spans="1:30">
      <c r="A25" s="80" t="s">
        <v>161</v>
      </c>
      <c r="B25" s="71" t="s">
        <v>156</v>
      </c>
      <c r="C25" s="83"/>
      <c r="D25" s="61">
        <v>717.49097500000005</v>
      </c>
      <c r="E25" s="61">
        <v>175.927515</v>
      </c>
      <c r="F25" s="61">
        <v>167.94784100000001</v>
      </c>
      <c r="G25" s="61">
        <v>872.81579399999998</v>
      </c>
      <c r="H25" s="61">
        <v>225.327122</v>
      </c>
      <c r="I25" s="61">
        <v>217.45229699999999</v>
      </c>
      <c r="J25" s="61">
        <v>989.65290200000004</v>
      </c>
      <c r="K25" s="61">
        <v>266.91704499999997</v>
      </c>
      <c r="L25" s="61">
        <v>261.42100499999998</v>
      </c>
      <c r="M25" s="61">
        <v>1119.34564</v>
      </c>
      <c r="N25" s="61">
        <v>322.469404</v>
      </c>
      <c r="O25" s="61">
        <v>321.97049900000002</v>
      </c>
      <c r="P25" s="61">
        <v>1294.7961499999999</v>
      </c>
      <c r="Q25" s="61">
        <v>441.67412200000001</v>
      </c>
      <c r="R25" s="61">
        <v>445.92042099999998</v>
      </c>
      <c r="S25" s="61">
        <v>1372.10373</v>
      </c>
      <c r="T25" s="61"/>
      <c r="U25" s="61"/>
      <c r="V25" s="61">
        <v>1517.176303</v>
      </c>
      <c r="W25" s="61"/>
      <c r="X25" s="61"/>
      <c r="Y25" s="61">
        <v>2148.3489180000001</v>
      </c>
      <c r="Z25" s="61"/>
      <c r="AA25" s="61"/>
      <c r="AB25" s="61">
        <v>2950.7866469999999</v>
      </c>
      <c r="AC25" s="61"/>
      <c r="AD25" s="61"/>
    </row>
    <row r="26" spans="1:30">
      <c r="A26" s="81"/>
      <c r="B26" s="69" t="s">
        <v>157</v>
      </c>
      <c r="C26" s="83"/>
      <c r="D26" s="61">
        <v>717.49102153432341</v>
      </c>
      <c r="E26" s="61">
        <v>175.92751390750624</v>
      </c>
      <c r="F26" s="61">
        <v>167.94783811273422</v>
      </c>
      <c r="G26" s="61">
        <v>872.81582458315279</v>
      </c>
      <c r="H26" s="61">
        <v>225.32712119244329</v>
      </c>
      <c r="I26" s="61">
        <v>217.45229131566836</v>
      </c>
      <c r="J26" s="61">
        <v>989.65290697973023</v>
      </c>
      <c r="K26" s="61">
        <v>266.91704784724948</v>
      </c>
      <c r="L26" s="61">
        <v>261.42099609528105</v>
      </c>
      <c r="M26" s="61">
        <v>1119.3456464060444</v>
      </c>
      <c r="N26" s="61">
        <v>322.46934886381297</v>
      </c>
      <c r="O26" s="61">
        <v>321.97051844086224</v>
      </c>
      <c r="P26" s="61">
        <v>1294.7961576465018</v>
      </c>
      <c r="Q26" s="61">
        <v>441.67413360065041</v>
      </c>
      <c r="R26" s="61">
        <v>445.9204114199527</v>
      </c>
      <c r="S26" s="61">
        <v>1372.1037298865826</v>
      </c>
      <c r="T26" s="61"/>
      <c r="U26" s="61"/>
      <c r="V26" s="61">
        <v>1517.1762998939755</v>
      </c>
      <c r="W26" s="61"/>
      <c r="X26" s="61"/>
      <c r="Y26" s="61">
        <v>2148.3490570999998</v>
      </c>
      <c r="Z26" s="61"/>
      <c r="AA26" s="61"/>
      <c r="AB26" s="61">
        <v>2950.7865710082892</v>
      </c>
      <c r="AC26" s="61"/>
      <c r="AD26" s="61"/>
    </row>
    <row r="27" spans="1:30">
      <c r="A27" s="81"/>
      <c r="B27" s="69" t="s">
        <v>158</v>
      </c>
      <c r="C27" s="83"/>
      <c r="D27" s="61">
        <v>165.93750501412097</v>
      </c>
      <c r="E27" s="61">
        <v>165.93750501412097</v>
      </c>
      <c r="F27" s="61">
        <v>165.93750501412097</v>
      </c>
      <c r="G27" s="61">
        <v>214.81857699374933</v>
      </c>
      <c r="H27" s="61">
        <v>214.81857699374933</v>
      </c>
      <c r="I27" s="61">
        <v>214.81857699374933</v>
      </c>
      <c r="J27" s="61">
        <v>258.33828562828643</v>
      </c>
      <c r="K27" s="61">
        <v>258.33828562828643</v>
      </c>
      <c r="L27" s="61">
        <v>258.33828562828643</v>
      </c>
      <c r="M27" s="61">
        <v>318.12410589314675</v>
      </c>
      <c r="N27" s="61">
        <v>318.12410589314675</v>
      </c>
      <c r="O27" s="61">
        <v>318.12410589314675</v>
      </c>
      <c r="P27" s="61">
        <v>441.48510508344111</v>
      </c>
      <c r="Q27" s="61">
        <v>441.48510508344111</v>
      </c>
      <c r="R27" s="61">
        <v>441.48510508344111</v>
      </c>
      <c r="S27" s="61">
        <v>623.67217431015342</v>
      </c>
      <c r="T27" s="61"/>
      <c r="U27" s="61"/>
      <c r="V27" s="61">
        <v>816.36685379653545</v>
      </c>
      <c r="W27" s="61"/>
      <c r="X27" s="61"/>
      <c r="Y27" s="61">
        <v>1296.8624961826083</v>
      </c>
      <c r="Z27" s="61"/>
      <c r="AA27" s="61"/>
      <c r="AB27" s="61">
        <v>1862.991025330555</v>
      </c>
      <c r="AC27" s="61"/>
      <c r="AD27" s="61"/>
    </row>
    <row r="28" spans="1:30" ht="16.5" customHeight="1">
      <c r="A28" s="84" t="s">
        <v>159</v>
      </c>
      <c r="B28" s="84"/>
      <c r="C28" s="83"/>
      <c r="D28" s="75" t="s">
        <v>168</v>
      </c>
      <c r="E28" s="75" t="s">
        <v>168</v>
      </c>
      <c r="F28" s="75" t="s">
        <v>168</v>
      </c>
      <c r="G28" s="75" t="s">
        <v>169</v>
      </c>
      <c r="H28" s="75" t="s">
        <v>168</v>
      </c>
      <c r="I28" s="75" t="s">
        <v>168</v>
      </c>
      <c r="J28" s="75" t="s">
        <v>169</v>
      </c>
      <c r="K28" s="75" t="s">
        <v>168</v>
      </c>
      <c r="L28" s="75" t="s">
        <v>168</v>
      </c>
      <c r="M28" s="75" t="s">
        <v>169</v>
      </c>
      <c r="N28" s="75" t="s">
        <v>168</v>
      </c>
      <c r="O28" s="75" t="s">
        <v>168</v>
      </c>
      <c r="P28" s="75" t="s">
        <v>169</v>
      </c>
      <c r="Q28" s="75" t="s">
        <v>168</v>
      </c>
      <c r="R28" s="75" t="s">
        <v>168</v>
      </c>
      <c r="S28" s="75" t="s">
        <v>169</v>
      </c>
      <c r="T28" s="75"/>
      <c r="U28" s="75"/>
      <c r="V28" s="75" t="s">
        <v>169</v>
      </c>
      <c r="W28" s="75"/>
      <c r="X28" s="75"/>
      <c r="Y28" s="75" t="s">
        <v>169</v>
      </c>
      <c r="Z28" s="75"/>
      <c r="AA28" s="75"/>
      <c r="AB28" s="75" t="s">
        <v>169</v>
      </c>
      <c r="AC28" s="75"/>
      <c r="AD28" s="75"/>
    </row>
    <row r="29" spans="1:30" ht="7.5" customHeight="1">
      <c r="A29" s="70"/>
      <c r="B29" s="70"/>
      <c r="C29" s="7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</row>
    <row r="30" spans="1:30">
      <c r="C30" s="73"/>
      <c r="D30" s="82">
        <f>0/460</f>
        <v>0</v>
      </c>
      <c r="E30" s="82"/>
      <c r="F30" s="82"/>
      <c r="G30" s="82">
        <f>50/460</f>
        <v>0.10869565217391304</v>
      </c>
      <c r="H30" s="82"/>
      <c r="I30" s="82"/>
      <c r="J30" s="82">
        <f>90/460</f>
        <v>0.19565217391304349</v>
      </c>
      <c r="K30" s="82"/>
      <c r="L30" s="82"/>
      <c r="M30" s="82">
        <f>140/460</f>
        <v>0.30434782608695654</v>
      </c>
      <c r="N30" s="82"/>
      <c r="O30" s="82"/>
      <c r="P30" s="82">
        <f>230/460</f>
        <v>0.5</v>
      </c>
      <c r="Q30" s="82"/>
      <c r="R30" s="82"/>
      <c r="S30" s="82">
        <f>350/460</f>
        <v>0.76086956521739135</v>
      </c>
      <c r="T30" s="82"/>
      <c r="U30" s="82"/>
      <c r="V30" s="82">
        <f>460/460</f>
        <v>1</v>
      </c>
      <c r="W30" s="82"/>
      <c r="X30" s="82"/>
      <c r="Y30" s="83">
        <f>690/460</f>
        <v>1.5</v>
      </c>
      <c r="Z30" s="83"/>
      <c r="AA30" s="83"/>
      <c r="AB30" s="83">
        <f>920/460</f>
        <v>2</v>
      </c>
      <c r="AC30" s="83"/>
      <c r="AD30" s="83"/>
    </row>
    <row r="31" spans="1:30">
      <c r="A31" s="84" t="s">
        <v>160</v>
      </c>
      <c r="B31" s="84"/>
      <c r="C31" s="82">
        <v>2</v>
      </c>
      <c r="D31" s="61">
        <v>-440.18685900000003</v>
      </c>
      <c r="E31" s="61">
        <v>-11.0457</v>
      </c>
      <c r="F31" s="61">
        <v>10.727278</v>
      </c>
      <c r="G31" s="61">
        <v>-384.68663900000001</v>
      </c>
      <c r="H31" s="61">
        <v>36.084262000000003</v>
      </c>
      <c r="I31" s="61">
        <v>62.073155999999997</v>
      </c>
      <c r="J31" s="61">
        <v>-347.60919999999999</v>
      </c>
      <c r="K31" s="61">
        <v>75.936852999999999</v>
      </c>
      <c r="L31" s="61">
        <v>100.962155</v>
      </c>
      <c r="M31" s="61">
        <v>-305.97563000000002</v>
      </c>
      <c r="N31" s="61">
        <v>129.324602</v>
      </c>
      <c r="O31" s="61">
        <v>147.55367699999999</v>
      </c>
      <c r="P31" s="61">
        <v>-238.02882099999999</v>
      </c>
      <c r="Q31" s="61">
        <v>229.99998400000001</v>
      </c>
      <c r="R31" s="61"/>
      <c r="S31" s="61">
        <v>-152.223398</v>
      </c>
      <c r="T31" s="61"/>
      <c r="U31" s="61"/>
      <c r="V31" s="61">
        <v>-71.630830000000003</v>
      </c>
      <c r="W31" s="61"/>
      <c r="Y31" s="61">
        <v>103.23362400000001</v>
      </c>
      <c r="Z31" s="61"/>
      <c r="AA31" s="61"/>
      <c r="AB31" s="61">
        <v>247.52127100000001</v>
      </c>
      <c r="AC31" s="61"/>
      <c r="AD31" s="61"/>
    </row>
    <row r="32" spans="1:30">
      <c r="A32" s="80" t="s">
        <v>161</v>
      </c>
      <c r="B32" s="71" t="s">
        <v>156</v>
      </c>
      <c r="C32" s="82"/>
      <c r="D32" s="61">
        <v>716.75478399999997</v>
      </c>
      <c r="E32" s="61">
        <v>129.83212700000001</v>
      </c>
      <c r="F32" s="61">
        <v>126.765196</v>
      </c>
      <c r="G32" s="61">
        <v>898.13408100000004</v>
      </c>
      <c r="H32" s="61">
        <v>165.65024299999999</v>
      </c>
      <c r="I32" s="61">
        <v>163.89229599999999</v>
      </c>
      <c r="J32" s="61">
        <v>1045.386624</v>
      </c>
      <c r="K32" s="61">
        <v>197.00464299999999</v>
      </c>
      <c r="L32" s="61">
        <v>197.07503800000001</v>
      </c>
      <c r="M32" s="61">
        <v>1222.866055</v>
      </c>
      <c r="N32" s="61">
        <v>240.954013</v>
      </c>
      <c r="O32" s="61">
        <v>243.107812</v>
      </c>
      <c r="P32" s="61">
        <v>1520.033005</v>
      </c>
      <c r="Q32" s="61">
        <v>339.33942400000001</v>
      </c>
      <c r="R32" s="61"/>
      <c r="S32" s="61">
        <v>1856.108252</v>
      </c>
      <c r="T32" s="61"/>
      <c r="U32" s="61"/>
      <c r="V32" s="61">
        <v>2078.4025539999998</v>
      </c>
      <c r="W32" s="61"/>
      <c r="Y32" s="61">
        <v>2377.6080229999998</v>
      </c>
      <c r="Z32" s="61"/>
      <c r="AA32" s="61"/>
      <c r="AB32" s="61">
        <v>2997.7855009999998</v>
      </c>
      <c r="AC32" s="61"/>
      <c r="AD32" s="61"/>
    </row>
    <row r="33" spans="1:30">
      <c r="A33" s="81"/>
      <c r="B33" s="69" t="s">
        <v>157</v>
      </c>
      <c r="C33" s="82"/>
      <c r="D33" s="61">
        <v>716.75477786490546</v>
      </c>
      <c r="E33" s="61">
        <v>129.8320488979426</v>
      </c>
      <c r="F33" s="61">
        <v>126.76519299445462</v>
      </c>
      <c r="G33" s="61">
        <v>898.13404293885628</v>
      </c>
      <c r="H33" s="61">
        <v>165.65023986504653</v>
      </c>
      <c r="I33" s="61">
        <v>163.89227439769169</v>
      </c>
      <c r="J33" s="61">
        <v>1045.386639683567</v>
      </c>
      <c r="K33" s="61">
        <v>197.00452670236268</v>
      </c>
      <c r="L33" s="61">
        <v>197.07502243594803</v>
      </c>
      <c r="M33" s="61">
        <v>1222.8660973758488</v>
      </c>
      <c r="N33" s="61">
        <v>240.95412673382492</v>
      </c>
      <c r="O33" s="61">
        <v>243.10783421303745</v>
      </c>
      <c r="P33" s="61">
        <v>1520.0330265776961</v>
      </c>
      <c r="Q33" s="61">
        <v>350.68655522116086</v>
      </c>
      <c r="R33" s="61"/>
      <c r="S33" s="61">
        <v>1856.1082408791726</v>
      </c>
      <c r="T33" s="61"/>
      <c r="U33" s="61"/>
      <c r="V33" s="61">
        <v>2078.4025481751878</v>
      </c>
      <c r="W33" s="61"/>
      <c r="Y33" s="61">
        <v>2377.6080304724237</v>
      </c>
      <c r="Z33" s="61"/>
      <c r="AA33" s="61"/>
      <c r="AB33" s="61">
        <v>2997.7854958931007</v>
      </c>
      <c r="AC33" s="61"/>
      <c r="AD33" s="61"/>
    </row>
    <row r="34" spans="1:30">
      <c r="A34" s="81"/>
      <c r="B34" s="69" t="s">
        <v>158</v>
      </c>
      <c r="C34" s="82"/>
      <c r="D34" s="61">
        <v>124.83371936842127</v>
      </c>
      <c r="E34" s="61">
        <v>124.83371936842127</v>
      </c>
      <c r="F34" s="61">
        <v>124.83371936842127</v>
      </c>
      <c r="G34" s="61">
        <v>161.22149096056847</v>
      </c>
      <c r="H34" s="61">
        <v>161.22149096056847</v>
      </c>
      <c r="I34" s="61">
        <v>161.22149096056847</v>
      </c>
      <c r="J34" s="61">
        <v>193.98537806945956</v>
      </c>
      <c r="K34" s="61">
        <v>193.98537806945956</v>
      </c>
      <c r="L34" s="61">
        <v>193.98537806945956</v>
      </c>
      <c r="M34" s="61">
        <v>239.11018622397765</v>
      </c>
      <c r="N34" s="61">
        <v>239.11018622397765</v>
      </c>
      <c r="O34" s="61">
        <v>239.11018622397765</v>
      </c>
      <c r="P34" s="61">
        <v>333.77796306739469</v>
      </c>
      <c r="Q34" s="61">
        <v>333.77796306739469</v>
      </c>
      <c r="R34" s="61"/>
      <c r="S34" s="61">
        <v>476.23468232014369</v>
      </c>
      <c r="T34" s="61"/>
      <c r="U34" s="61"/>
      <c r="V34" s="61">
        <v>624.16859684210624</v>
      </c>
      <c r="W34" s="61"/>
      <c r="X34" s="61"/>
      <c r="Y34" s="61">
        <v>1004.7592046726591</v>
      </c>
      <c r="Z34" s="61"/>
      <c r="AA34" s="61"/>
      <c r="AB34" s="61">
        <v>1465.2738401476279</v>
      </c>
      <c r="AC34" s="61"/>
      <c r="AD34" s="61"/>
    </row>
    <row r="35" spans="1:30">
      <c r="A35" s="84" t="s">
        <v>159</v>
      </c>
      <c r="B35" s="84"/>
      <c r="C35" s="82"/>
      <c r="D35" s="75" t="s">
        <v>168</v>
      </c>
      <c r="E35" s="75" t="s">
        <v>168</v>
      </c>
      <c r="F35" s="75" t="s">
        <v>168</v>
      </c>
      <c r="G35" s="75" t="s">
        <v>169</v>
      </c>
      <c r="H35" s="75" t="s">
        <v>168</v>
      </c>
      <c r="I35" s="75" t="s">
        <v>168</v>
      </c>
      <c r="J35" s="75" t="s">
        <v>169</v>
      </c>
      <c r="K35" s="75" t="s">
        <v>168</v>
      </c>
      <c r="L35" s="75" t="s">
        <v>168</v>
      </c>
      <c r="M35" s="75" t="s">
        <v>169</v>
      </c>
      <c r="N35" s="75" t="s">
        <v>168</v>
      </c>
      <c r="O35" s="75" t="s">
        <v>168</v>
      </c>
      <c r="P35" s="75" t="s">
        <v>169</v>
      </c>
      <c r="Q35" s="75" t="s">
        <v>168</v>
      </c>
      <c r="R35" s="61"/>
      <c r="S35" s="75" t="s">
        <v>169</v>
      </c>
      <c r="T35" s="61"/>
      <c r="U35" s="61"/>
      <c r="V35" s="75" t="s">
        <v>169</v>
      </c>
      <c r="W35" s="61"/>
      <c r="X35" s="61"/>
      <c r="Y35" s="75" t="s">
        <v>169</v>
      </c>
      <c r="Z35" s="61"/>
      <c r="AA35" s="61"/>
      <c r="AB35" s="75" t="s">
        <v>166</v>
      </c>
      <c r="AC35" s="61"/>
      <c r="AD35" s="61"/>
    </row>
    <row r="36" spans="1:30" ht="7.5" customHeight="1">
      <c r="A36" s="70"/>
      <c r="B36" s="70"/>
      <c r="C36" s="73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</row>
    <row r="37" spans="1:30">
      <c r="C37" s="73"/>
      <c r="D37" s="82">
        <f>0/460</f>
        <v>0</v>
      </c>
      <c r="E37" s="82"/>
      <c r="F37" s="82"/>
      <c r="G37" s="82">
        <f>50/460</f>
        <v>0.10869565217391304</v>
      </c>
      <c r="H37" s="82"/>
      <c r="I37" s="82"/>
      <c r="J37" s="82">
        <f>90/460</f>
        <v>0.19565217391304349</v>
      </c>
      <c r="K37" s="82"/>
      <c r="L37" s="82"/>
      <c r="M37" s="82">
        <f>140/460</f>
        <v>0.30434782608695654</v>
      </c>
      <c r="N37" s="82"/>
      <c r="O37" s="82"/>
      <c r="P37" s="82">
        <f>230/460</f>
        <v>0.5</v>
      </c>
      <c r="Q37" s="82"/>
      <c r="R37" s="82"/>
      <c r="S37" s="82">
        <f>350/460</f>
        <v>0.76086956521739135</v>
      </c>
      <c r="T37" s="82"/>
      <c r="U37" s="82"/>
      <c r="V37" s="82">
        <f>460/460</f>
        <v>1</v>
      </c>
      <c r="W37" s="82"/>
      <c r="X37" s="82"/>
      <c r="Y37" s="83">
        <f>690/460</f>
        <v>1.5</v>
      </c>
      <c r="Z37" s="83"/>
      <c r="AA37" s="83"/>
      <c r="AB37" s="83">
        <f>920/460</f>
        <v>2</v>
      </c>
      <c r="AC37" s="83"/>
      <c r="AD37" s="83"/>
    </row>
    <row r="38" spans="1:30">
      <c r="A38" s="84" t="s">
        <v>160</v>
      </c>
      <c r="B38" s="84"/>
      <c r="C38" s="82">
        <v>3</v>
      </c>
      <c r="D38" s="61">
        <v>-677.38812800000005</v>
      </c>
      <c r="E38" s="61">
        <v>-6.7069390000000002</v>
      </c>
      <c r="F38" s="61">
        <v>6.6306940000000001</v>
      </c>
      <c r="G38" s="61">
        <v>-625.24115700000004</v>
      </c>
      <c r="H38" s="61">
        <v>42.149174000000002</v>
      </c>
      <c r="I38" s="61">
        <v>56.989238999999998</v>
      </c>
      <c r="J38" s="61">
        <v>-590.84185600000001</v>
      </c>
      <c r="K38" s="61">
        <v>83.402276000000001</v>
      </c>
      <c r="L38" s="61">
        <v>95.369556000000003</v>
      </c>
      <c r="M38" s="61">
        <v>-552.53407100000004</v>
      </c>
      <c r="N38" s="61">
        <v>137.703406</v>
      </c>
      <c r="O38" s="61">
        <v>141.77467100000001</v>
      </c>
      <c r="P38" s="61">
        <v>-490.91023300000001</v>
      </c>
      <c r="Q38" s="61"/>
      <c r="R38" s="61"/>
      <c r="S38" s="61">
        <v>-415.791044</v>
      </c>
      <c r="T38" s="61"/>
      <c r="U38" s="61"/>
      <c r="V38" s="61">
        <v>-349.72964999999999</v>
      </c>
      <c r="W38" s="61"/>
      <c r="X38" s="61"/>
      <c r="Y38" s="61">
        <v>-211.55989600000001</v>
      </c>
      <c r="Z38" s="61"/>
      <c r="AA38" s="61"/>
      <c r="AB38" s="61">
        <v>-62.653294000000002</v>
      </c>
      <c r="AC38" s="61"/>
      <c r="AD38" s="61"/>
    </row>
    <row r="39" spans="1:30">
      <c r="A39" s="80" t="s">
        <v>161</v>
      </c>
      <c r="B39" s="71" t="s">
        <v>156</v>
      </c>
      <c r="C39" s="82"/>
      <c r="D39" s="61">
        <v>698.67920100000003</v>
      </c>
      <c r="E39" s="61">
        <v>85.706755000000001</v>
      </c>
      <c r="F39" s="61">
        <v>84.879372000000004</v>
      </c>
      <c r="G39" s="61">
        <v>904.15821500000004</v>
      </c>
      <c r="H39" s="61">
        <v>109.48511999999999</v>
      </c>
      <c r="I39" s="61">
        <v>109.54947199999999</v>
      </c>
      <c r="J39" s="61">
        <v>1073.659977</v>
      </c>
      <c r="K39" s="61">
        <v>130.96920600000001</v>
      </c>
      <c r="L39" s="61">
        <v>131.76181399999999</v>
      </c>
      <c r="M39" s="61">
        <v>1283.8512579999999</v>
      </c>
      <c r="N39" s="61">
        <v>162.180724</v>
      </c>
      <c r="O39" s="61">
        <v>162.84653</v>
      </c>
      <c r="P39" s="61">
        <v>1656.158095</v>
      </c>
      <c r="Q39" s="61"/>
      <c r="R39" s="61"/>
      <c r="S39" s="61">
        <v>2135.866336</v>
      </c>
      <c r="T39" s="61"/>
      <c r="U39" s="61"/>
      <c r="V39" s="61">
        <v>2552.8925920000001</v>
      </c>
      <c r="W39" s="61"/>
      <c r="X39" s="61"/>
      <c r="Y39" s="61">
        <v>3322.4272529999998</v>
      </c>
      <c r="Z39" s="61"/>
      <c r="AA39" s="61"/>
      <c r="AB39" s="61">
        <v>3865.8669490000002</v>
      </c>
      <c r="AC39" s="61"/>
      <c r="AD39" s="61"/>
    </row>
    <row r="40" spans="1:30">
      <c r="A40" s="81"/>
      <c r="B40" s="69" t="s">
        <v>157</v>
      </c>
      <c r="C40" s="82"/>
      <c r="D40" s="61">
        <v>698.67923937756518</v>
      </c>
      <c r="E40" s="61">
        <v>85.70675015738621</v>
      </c>
      <c r="F40" s="61">
        <v>84.879370063637666</v>
      </c>
      <c r="G40" s="61">
        <v>904.15822272758078</v>
      </c>
      <c r="H40" s="61">
        <v>109.48511032749917</v>
      </c>
      <c r="I40" s="61">
        <v>109.54947341457495</v>
      </c>
      <c r="J40" s="61">
        <v>1073.6599825410226</v>
      </c>
      <c r="K40" s="61">
        <v>130.96923689955926</v>
      </c>
      <c r="L40" s="61">
        <v>131.76179383266771</v>
      </c>
      <c r="M40" s="61">
        <v>1283.8511960393034</v>
      </c>
      <c r="N40" s="61">
        <v>162.18072362544666</v>
      </c>
      <c r="O40" s="61">
        <v>162.84653095504285</v>
      </c>
      <c r="P40" s="61">
        <v>1656.1581067582197</v>
      </c>
      <c r="Q40" s="61"/>
      <c r="R40" s="61"/>
      <c r="S40" s="61">
        <v>2135.8662534123168</v>
      </c>
      <c r="T40" s="61"/>
      <c r="U40" s="61"/>
      <c r="V40" s="61">
        <v>2552.8925562991176</v>
      </c>
      <c r="W40" s="61"/>
      <c r="X40" s="61"/>
      <c r="Y40" s="61">
        <v>3322.4272702236394</v>
      </c>
      <c r="Z40" s="61"/>
      <c r="AA40" s="61"/>
      <c r="AB40" s="61">
        <v>3865.8669201157018</v>
      </c>
      <c r="AC40" s="61"/>
      <c r="AD40" s="61"/>
    </row>
    <row r="41" spans="1:30">
      <c r="A41" s="81"/>
      <c r="B41" s="69" t="s">
        <v>158</v>
      </c>
      <c r="C41" s="82"/>
      <c r="D41" s="61">
        <v>83.349343114891028</v>
      </c>
      <c r="E41" s="61">
        <v>83.349343114891028</v>
      </c>
      <c r="F41" s="61">
        <v>83.349343114891028</v>
      </c>
      <c r="G41" s="61">
        <v>107.95535328202284</v>
      </c>
      <c r="H41" s="61">
        <v>107.95535328202284</v>
      </c>
      <c r="I41" s="61">
        <v>107.95535328202284</v>
      </c>
      <c r="J41" s="61">
        <v>129.46699633331497</v>
      </c>
      <c r="K41" s="61">
        <v>129.46699633331497</v>
      </c>
      <c r="L41" s="61">
        <v>129.46699633331497</v>
      </c>
      <c r="M41" s="61">
        <v>160.07971913707678</v>
      </c>
      <c r="N41" s="61">
        <v>160.07971913707678</v>
      </c>
      <c r="O41" s="61">
        <v>160.07971913707678</v>
      </c>
      <c r="P41" s="61">
        <v>224.92904922785658</v>
      </c>
      <c r="Q41" s="61"/>
      <c r="R41" s="61"/>
      <c r="S41" s="61">
        <v>322.70774060484513</v>
      </c>
      <c r="T41" s="61"/>
      <c r="U41" s="61"/>
      <c r="V41" s="61">
        <v>426.26148077021895</v>
      </c>
      <c r="W41" s="61"/>
      <c r="X41" s="61"/>
      <c r="Y41" s="61">
        <v>690.77195321245301</v>
      </c>
      <c r="Z41" s="61"/>
      <c r="AA41" s="61"/>
      <c r="AB41" s="61">
        <v>1019.9828289858812</v>
      </c>
      <c r="AC41" s="61"/>
      <c r="AD41" s="61"/>
    </row>
    <row r="42" spans="1:30">
      <c r="A42" s="84" t="s">
        <v>159</v>
      </c>
      <c r="B42" s="84"/>
      <c r="C42" s="82"/>
      <c r="D42" s="75" t="s">
        <v>168</v>
      </c>
      <c r="E42" s="75" t="s">
        <v>168</v>
      </c>
      <c r="F42" s="75" t="s">
        <v>168</v>
      </c>
      <c r="G42" s="75" t="s">
        <v>169</v>
      </c>
      <c r="H42" s="75" t="s">
        <v>168</v>
      </c>
      <c r="I42" s="75" t="s">
        <v>168</v>
      </c>
      <c r="J42" s="75" t="s">
        <v>169</v>
      </c>
      <c r="K42" s="75" t="s">
        <v>168</v>
      </c>
      <c r="L42" s="75" t="s">
        <v>168</v>
      </c>
      <c r="M42" s="75" t="s">
        <v>169</v>
      </c>
      <c r="N42" s="75" t="s">
        <v>168</v>
      </c>
      <c r="O42" s="75" t="s">
        <v>168</v>
      </c>
      <c r="P42" s="75" t="s">
        <v>169</v>
      </c>
      <c r="Q42" s="61"/>
      <c r="R42" s="61"/>
      <c r="S42" s="75" t="s">
        <v>169</v>
      </c>
      <c r="T42" s="61"/>
      <c r="U42" s="61"/>
      <c r="V42" s="75" t="s">
        <v>169</v>
      </c>
      <c r="W42" s="61"/>
      <c r="X42" s="61"/>
      <c r="Y42" s="75" t="s">
        <v>166</v>
      </c>
      <c r="Z42" s="61"/>
      <c r="AA42" s="61"/>
      <c r="AB42" s="75" t="s">
        <v>166</v>
      </c>
      <c r="AC42" s="61"/>
      <c r="AD42" s="61"/>
    </row>
    <row r="43" spans="1:30" ht="7.5" customHeight="1">
      <c r="A43" s="70"/>
      <c r="B43" s="70"/>
      <c r="C43" s="73"/>
    </row>
    <row r="45" spans="1:30" ht="17.25" customHeight="1"/>
  </sheetData>
  <mergeCells count="80">
    <mergeCell ref="Y37:AA37"/>
    <mergeCell ref="AB37:AD37"/>
    <mergeCell ref="V30:X30"/>
    <mergeCell ref="Y30:AA30"/>
    <mergeCell ref="AB30:AD30"/>
    <mergeCell ref="S37:U37"/>
    <mergeCell ref="V37:X37"/>
    <mergeCell ref="D30:F30"/>
    <mergeCell ref="G30:I30"/>
    <mergeCell ref="J30:L30"/>
    <mergeCell ref="M30:O30"/>
    <mergeCell ref="P30:R30"/>
    <mergeCell ref="S30:U30"/>
    <mergeCell ref="D37:F37"/>
    <mergeCell ref="G37:I37"/>
    <mergeCell ref="J37:L37"/>
    <mergeCell ref="M37:O37"/>
    <mergeCell ref="P37:R37"/>
    <mergeCell ref="S23:U23"/>
    <mergeCell ref="D16:F16"/>
    <mergeCell ref="G16:I16"/>
    <mergeCell ref="J16:L16"/>
    <mergeCell ref="M16:O16"/>
    <mergeCell ref="P16:R16"/>
    <mergeCell ref="S9:U9"/>
    <mergeCell ref="V9:X9"/>
    <mergeCell ref="Y9:AA9"/>
    <mergeCell ref="AB9:AD9"/>
    <mergeCell ref="S16:U16"/>
    <mergeCell ref="V16:X16"/>
    <mergeCell ref="Y16:AA16"/>
    <mergeCell ref="AB16:AD16"/>
    <mergeCell ref="A42:B42"/>
    <mergeCell ref="C1:C2"/>
    <mergeCell ref="C3:C7"/>
    <mergeCell ref="C10:C14"/>
    <mergeCell ref="C17:C21"/>
    <mergeCell ref="C24:C28"/>
    <mergeCell ref="C31:C35"/>
    <mergeCell ref="C38:C42"/>
    <mergeCell ref="A28:B28"/>
    <mergeCell ref="A31:B31"/>
    <mergeCell ref="A32:A34"/>
    <mergeCell ref="A35:B35"/>
    <mergeCell ref="A38:B38"/>
    <mergeCell ref="A39:A41"/>
    <mergeCell ref="A11:A13"/>
    <mergeCell ref="A14:B14"/>
    <mergeCell ref="A17:B17"/>
    <mergeCell ref="A18:A20"/>
    <mergeCell ref="A21:B21"/>
    <mergeCell ref="A24:B24"/>
    <mergeCell ref="P2:R2"/>
    <mergeCell ref="P9:R9"/>
    <mergeCell ref="D23:F23"/>
    <mergeCell ref="G23:I23"/>
    <mergeCell ref="J23:L23"/>
    <mergeCell ref="M23:O23"/>
    <mergeCell ref="P23:R23"/>
    <mergeCell ref="J9:L9"/>
    <mergeCell ref="M9:O9"/>
    <mergeCell ref="A3:B3"/>
    <mergeCell ref="A7:B7"/>
    <mergeCell ref="A4:A6"/>
    <mergeCell ref="A25:A27"/>
    <mergeCell ref="V23:X23"/>
    <mergeCell ref="Y23:AA23"/>
    <mergeCell ref="AB23:AD23"/>
    <mergeCell ref="D1:AD1"/>
    <mergeCell ref="D2:F2"/>
    <mergeCell ref="G2:I2"/>
    <mergeCell ref="J2:L2"/>
    <mergeCell ref="M2:O2"/>
    <mergeCell ref="S2:U2"/>
    <mergeCell ref="V2:X2"/>
    <mergeCell ref="Y2:AA2"/>
    <mergeCell ref="AB2:AD2"/>
    <mergeCell ref="A10:B10"/>
    <mergeCell ref="D9:F9"/>
    <mergeCell ref="G9:I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7"/>
  <sheetViews>
    <sheetView zoomScale="85" zoomScaleNormal="85" workbookViewId="0"/>
  </sheetViews>
  <sheetFormatPr defaultRowHeight="16.5"/>
  <cols>
    <col min="1" max="2" width="9" customWidth="1"/>
    <col min="3" max="3" width="2.375" customWidth="1"/>
    <col min="8" max="8" width="8.875" hidden="1" customWidth="1"/>
    <col min="9" max="9" width="9" hidden="1" customWidth="1"/>
    <col min="10" max="10" width="8.875" customWidth="1"/>
    <col min="15" max="15" width="2.375" customWidth="1"/>
    <col min="16" max="17" width="9.375" bestFit="1" customWidth="1"/>
    <col min="18" max="18" width="10.375" bestFit="1" customWidth="1"/>
    <col min="19" max="20" width="9.375" customWidth="1"/>
    <col min="21" max="23" width="9.375" bestFit="1" customWidth="1"/>
    <col min="24" max="26" width="10.25" customWidth="1"/>
    <col min="27" max="27" width="15" customWidth="1"/>
    <col min="28" max="28" width="10.25" customWidth="1"/>
    <col min="29" max="29" width="13.375" bestFit="1" customWidth="1"/>
  </cols>
  <sheetData>
    <row r="1" spans="1:28" ht="22.5" customHeight="1">
      <c r="A1" s="11" t="s">
        <v>28</v>
      </c>
      <c r="B1" s="11" t="s">
        <v>37</v>
      </c>
      <c r="C1" s="12"/>
      <c r="D1" s="13" t="s">
        <v>1</v>
      </c>
      <c r="E1" s="11" t="s">
        <v>21</v>
      </c>
      <c r="F1" s="13" t="s">
        <v>2</v>
      </c>
      <c r="G1" s="13" t="s">
        <v>3</v>
      </c>
      <c r="H1" s="13" t="s">
        <v>38</v>
      </c>
      <c r="I1" s="13" t="s">
        <v>39</v>
      </c>
      <c r="J1" s="11" t="s">
        <v>42</v>
      </c>
      <c r="K1" s="11" t="s">
        <v>43</v>
      </c>
      <c r="L1" s="11" t="s">
        <v>165</v>
      </c>
      <c r="M1" s="13" t="s">
        <v>19</v>
      </c>
      <c r="N1" s="13" t="s">
        <v>20</v>
      </c>
      <c r="O1" s="12"/>
      <c r="P1" s="14" t="s">
        <v>6</v>
      </c>
      <c r="Q1" s="14" t="s">
        <v>7</v>
      </c>
      <c r="R1" s="14" t="s">
        <v>8</v>
      </c>
      <c r="S1" s="14" t="s">
        <v>22</v>
      </c>
      <c r="T1" s="14" t="s">
        <v>23</v>
      </c>
      <c r="U1" s="14" t="s">
        <v>9</v>
      </c>
      <c r="V1" s="14" t="s">
        <v>10</v>
      </c>
      <c r="W1" s="14" t="s">
        <v>12</v>
      </c>
      <c r="X1" s="14" t="s">
        <v>13</v>
      </c>
      <c r="Y1" s="14" t="s">
        <v>14</v>
      </c>
      <c r="Z1" s="14" t="s">
        <v>15</v>
      </c>
      <c r="AA1" s="14" t="s">
        <v>16</v>
      </c>
      <c r="AB1" s="14" t="s">
        <v>40</v>
      </c>
    </row>
    <row r="2" spans="1:28" ht="22.5" customHeight="1">
      <c r="A2" s="11" t="s">
        <v>24</v>
      </c>
      <c r="B2" s="11" t="s">
        <v>4</v>
      </c>
      <c r="C2" s="12"/>
      <c r="D2" s="13" t="s">
        <v>0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44</v>
      </c>
      <c r="N2" s="13" t="s">
        <v>5</v>
      </c>
      <c r="O2" s="12"/>
      <c r="P2" s="13" t="s">
        <v>4</v>
      </c>
      <c r="Q2" s="13" t="s">
        <v>4</v>
      </c>
      <c r="R2" s="13"/>
      <c r="S2" s="13" t="s">
        <v>4</v>
      </c>
      <c r="T2" s="13" t="s">
        <v>4</v>
      </c>
      <c r="U2" s="13" t="s">
        <v>4</v>
      </c>
      <c r="V2" s="14" t="s">
        <v>11</v>
      </c>
      <c r="W2" s="13"/>
      <c r="X2" s="13" t="s">
        <v>18</v>
      </c>
      <c r="Y2" s="13" t="s">
        <v>18</v>
      </c>
      <c r="Z2" s="13" t="s">
        <v>18</v>
      </c>
      <c r="AA2" s="13" t="s">
        <v>17</v>
      </c>
      <c r="AB2" s="14" t="s">
        <v>4</v>
      </c>
    </row>
    <row r="3" spans="1:28">
      <c r="A3" s="7">
        <f>stiffener_C_shaped_weld!C30</f>
        <v>490</v>
      </c>
      <c r="B3" s="3">
        <f>MAX($D$3:$D$98)*E3-AB3--21.839527</f>
        <v>213.839527</v>
      </c>
      <c r="D3" s="1">
        <v>1</v>
      </c>
      <c r="E3" s="2">
        <v>10</v>
      </c>
      <c r="F3" s="20">
        <v>10</v>
      </c>
      <c r="G3" s="2">
        <f>F3/SQRT(2)</f>
        <v>7.0710678118654746</v>
      </c>
      <c r="H3" s="20">
        <f t="shared" ref="H3:H34" si="0">(MAX($D$3:$D$98)-D3+0.5)*E3-$AB$3</f>
        <v>187</v>
      </c>
      <c r="I3" s="2">
        <f>(MAX(D101:D143)-MAX(D3:D98))*E101</f>
        <v>80</v>
      </c>
      <c r="J3" s="20">
        <f t="shared" ref="J3:J4" si="1">H3-B3</f>
        <v>-26.839527000000004</v>
      </c>
      <c r="K3" s="2">
        <f>I3</f>
        <v>80</v>
      </c>
      <c r="L3" s="2">
        <f>SQRT(J3^2+K3^2)</f>
        <v>84.382226858407392</v>
      </c>
      <c r="M3" s="2">
        <f>ABS(J3/K3)</f>
        <v>0.33549408750000004</v>
      </c>
      <c r="N3" s="2">
        <f>ATAN(M3)*180/PI()</f>
        <v>18.546298387819618</v>
      </c>
      <c r="P3" s="4">
        <f>0.209 * (N3+2)^-0.32 * F3</f>
        <v>0.79445908728185954</v>
      </c>
      <c r="Q3" s="4">
        <f>MIN(1.087*(N3+6)^-0.65 * F3, 0.17*F3)</f>
        <v>1.3574962485068371</v>
      </c>
      <c r="R3" s="4">
        <f>Q3/L3</f>
        <v>1.6087466508613282E-2</v>
      </c>
      <c r="S3" s="4">
        <f t="shared" ref="S3:S34" si="2">INDEX($Q$3:$Q$143, MATCH(MIN($R$3:$R$143),$R$3:$R$143,0))</f>
        <v>0.61667582932448461</v>
      </c>
      <c r="T3" s="2">
        <f t="shared" ref="T3:T34" si="3">INDEX($L$3:$L$143, MATCH(MIN($R$3:$R$143),$R$3:$R$143,0))</f>
        <v>346.20928200957252</v>
      </c>
      <c r="U3" s="6">
        <f>S3*L3/T3</f>
        <v>0.15030353728851323</v>
      </c>
      <c r="V3" s="4">
        <f>U3/P3</f>
        <v>0.1891897766601898</v>
      </c>
      <c r="W3" s="4">
        <f>POWER(V3*(1.9-0.9*V3),0.3)</f>
        <v>0.71525801731724792</v>
      </c>
      <c r="X3" s="3">
        <f>0.6*A3*G3*E3*(1+0.5*SIN(N3*PI()/180)^1.5)*W3/1000</f>
        <v>16.203133239180353</v>
      </c>
      <c r="Y3" s="8">
        <f>X3*COS(N3*PI()/180)</f>
        <v>15.361655023747181</v>
      </c>
      <c r="Z3" s="3">
        <f>X3*SIN(N3*PI()/180)</f>
        <v>5.1537444346818519</v>
      </c>
      <c r="AA3" s="3">
        <f>L3*X3</f>
        <v>1367.2564648055179</v>
      </c>
      <c r="AB3" s="3">
        <f>(MAX(D3:D98)*E3*G3*MAX(D3:D98)*E3/2)/(MAX(D3:D98)*E3*G3+I3*G3)</f>
        <v>128</v>
      </c>
    </row>
    <row r="4" spans="1:28">
      <c r="A4" s="7">
        <f t="shared" ref="A4:B4" si="4">A3</f>
        <v>490</v>
      </c>
      <c r="B4" s="3">
        <f t="shared" si="4"/>
        <v>213.839527</v>
      </c>
      <c r="D4" s="1">
        <f>D3+1</f>
        <v>2</v>
      </c>
      <c r="E4" s="2">
        <f t="shared" ref="E4:F4" si="5">E3</f>
        <v>10</v>
      </c>
      <c r="F4" s="2">
        <f t="shared" si="5"/>
        <v>10</v>
      </c>
      <c r="G4" s="2">
        <f t="shared" ref="G4:G108" si="6">F4/SQRT(2)</f>
        <v>7.0710678118654746</v>
      </c>
      <c r="H4" s="20">
        <f t="shared" si="0"/>
        <v>177</v>
      </c>
      <c r="I4" s="2">
        <f>I3</f>
        <v>80</v>
      </c>
      <c r="J4" s="20">
        <f t="shared" si="1"/>
        <v>-36.839527000000004</v>
      </c>
      <c r="K4" s="2">
        <f>I4</f>
        <v>80</v>
      </c>
      <c r="L4" s="2">
        <f>SQRT(J4^2+K4^2)</f>
        <v>88.074688472816803</v>
      </c>
      <c r="M4" s="2">
        <f>ABS(J4/K4)</f>
        <v>0.46049408750000004</v>
      </c>
      <c r="N4" s="2">
        <f>ATAN(M4)*180/PI()</f>
        <v>24.72579092228024</v>
      </c>
      <c r="P4" s="4">
        <f>0.209 * (N4+2)^-0.32 * F4</f>
        <v>0.73034574735935665</v>
      </c>
      <c r="Q4" s="4">
        <f>MIN(1.087*(N4+6)^-0.65 * F4, 0.17*F4)</f>
        <v>1.1731473067852591</v>
      </c>
      <c r="R4" s="4">
        <f>Q4/L4</f>
        <v>1.3319914349141718E-2</v>
      </c>
      <c r="S4" s="4">
        <f t="shared" si="2"/>
        <v>0.61667582932448461</v>
      </c>
      <c r="T4" s="2">
        <f t="shared" si="3"/>
        <v>346.20928200957252</v>
      </c>
      <c r="U4" s="6">
        <f>S4*L4/T4</f>
        <v>0.15688063370573693</v>
      </c>
      <c r="V4" s="4">
        <f>U4/P4</f>
        <v>0.21480324116756438</v>
      </c>
      <c r="W4" s="4">
        <f>POWER(V4*(1.9-0.9*V4),0.3)</f>
        <v>0.74004419464686733</v>
      </c>
      <c r="X4" s="3">
        <f>0.6*A4*G4*E4*(1+0.5*SIN(N4*PI()/180)^1.5)*W4/1000</f>
        <v>17.465649115800272</v>
      </c>
      <c r="Y4" s="8">
        <f>X4*COS(N4*PI()/180)</f>
        <v>15.864398199889935</v>
      </c>
      <c r="Z4" s="3">
        <f>X4*SIN(N4*PI()/180)</f>
        <v>7.3054615727949592</v>
      </c>
      <c r="AA4" s="3">
        <f>L4*X4</f>
        <v>1538.2816048496372</v>
      </c>
      <c r="AB4" s="3"/>
    </row>
    <row r="5" spans="1:28">
      <c r="A5" s="7">
        <f>A4</f>
        <v>490</v>
      </c>
      <c r="B5" s="3">
        <f>B4</f>
        <v>213.839527</v>
      </c>
      <c r="D5" s="1">
        <f>D4+1</f>
        <v>3</v>
      </c>
      <c r="E5" s="2">
        <v>10</v>
      </c>
      <c r="F5" s="20">
        <v>10</v>
      </c>
      <c r="G5" s="2">
        <f>F5/SQRT(2)</f>
        <v>7.0710678118654746</v>
      </c>
      <c r="H5" s="20">
        <f t="shared" si="0"/>
        <v>167</v>
      </c>
      <c r="I5" s="2">
        <f>I4</f>
        <v>80</v>
      </c>
      <c r="J5" s="20">
        <f>H5-B5</f>
        <v>-46.839527000000004</v>
      </c>
      <c r="K5" s="2">
        <f>I5</f>
        <v>80</v>
      </c>
      <c r="L5" s="2">
        <f>SQRT(J5^2+K5^2)</f>
        <v>92.703512822242772</v>
      </c>
      <c r="M5" s="2">
        <f>ABS(J5/K5)</f>
        <v>0.58549408750000009</v>
      </c>
      <c r="N5" s="2">
        <f>ATAN(M5)*180/PI()</f>
        <v>30.348720771722611</v>
      </c>
      <c r="P5" s="4">
        <f>0.209 * (N5+2)^-0.32 * F5</f>
        <v>0.68705580051914239</v>
      </c>
      <c r="Q5" s="4">
        <f>MIN(1.087*(N5+6)^-0.65 * F5, 0.17*F5)</f>
        <v>1.05174779158389</v>
      </c>
      <c r="R5" s="4">
        <f>Q5/L5</f>
        <v>1.1345285195401348E-2</v>
      </c>
      <c r="S5" s="4">
        <f t="shared" si="2"/>
        <v>0.61667582932448461</v>
      </c>
      <c r="T5" s="2">
        <f t="shared" si="3"/>
        <v>346.20928200957252</v>
      </c>
      <c r="U5" s="6">
        <f>S5*L5/T5</f>
        <v>0.16512560067459106</v>
      </c>
      <c r="V5" s="4">
        <f>U5/P5</f>
        <v>0.24033797626018358</v>
      </c>
      <c r="W5" s="4">
        <f>POWER(V5*(1.9-0.9*V5),0.3)</f>
        <v>0.76229980766419103</v>
      </c>
      <c r="X5" s="3">
        <f>0.6*A5*G5*E5*(1+0.5*SIN(N5*PI()/180)^1.5)*W5/1000</f>
        <v>18.693192924776181</v>
      </c>
      <c r="Y5" s="8">
        <f>X5*COS(N5*PI()/180)</f>
        <v>16.131594029771041</v>
      </c>
      <c r="Z5" s="3">
        <f>X5*SIN(N5*PI()/180)</f>
        <v>9.4449529263812444</v>
      </c>
      <c r="AA5" s="3">
        <f>L5*X5</f>
        <v>1732.9246499906465</v>
      </c>
      <c r="AB5" s="14" t="s">
        <v>170</v>
      </c>
    </row>
    <row r="6" spans="1:28">
      <c r="A6" s="7">
        <f t="shared" ref="A6:A18" si="7">A5</f>
        <v>490</v>
      </c>
      <c r="B6" s="3">
        <f t="shared" ref="B6:B18" si="8">B5</f>
        <v>213.839527</v>
      </c>
      <c r="D6" s="1">
        <f t="shared" ref="D6:D18" si="9">D5+1</f>
        <v>4</v>
      </c>
      <c r="E6" s="2">
        <v>10</v>
      </c>
      <c r="F6" s="20">
        <v>10</v>
      </c>
      <c r="G6" s="2">
        <f t="shared" ref="G6:G34" si="10">F6/SQRT(2)</f>
        <v>7.0710678118654746</v>
      </c>
      <c r="H6" s="20">
        <f t="shared" si="0"/>
        <v>157</v>
      </c>
      <c r="I6" s="2">
        <f t="shared" ref="I6:I18" si="11">I5</f>
        <v>80</v>
      </c>
      <c r="J6" s="20">
        <f t="shared" ref="J6:J18" si="12">H6-B6</f>
        <v>-56.839527000000004</v>
      </c>
      <c r="K6" s="2">
        <f t="shared" ref="K6:K18" si="13">I6</f>
        <v>80</v>
      </c>
      <c r="L6" s="2">
        <f t="shared" ref="L6:L18" si="14">SQRT(J6^2+K6^2)</f>
        <v>98.136292112468411</v>
      </c>
      <c r="M6" s="2">
        <f t="shared" ref="M6:M18" si="15">ABS(J6/K6)</f>
        <v>0.71049408750000009</v>
      </c>
      <c r="N6" s="2">
        <f t="shared" ref="N6:N34" si="16">ATAN(M6)*180/PI()</f>
        <v>35.393568761918466</v>
      </c>
      <c r="P6" s="4">
        <f t="shared" ref="P6:P18" si="17">0.209 * (N6+2)^-0.32 * F6</f>
        <v>0.65592060385600792</v>
      </c>
      <c r="Q6" s="4">
        <f t="shared" ref="Q6:Q18" si="18">MIN(1.087*(N6+6)^-0.65 * F6, 0.17*F6)</f>
        <v>0.96654744695396189</v>
      </c>
      <c r="R6" s="4">
        <f t="shared" ref="R6:R18" si="19">Q6/L6</f>
        <v>9.8490316492318344E-3</v>
      </c>
      <c r="S6" s="4">
        <f t="shared" si="2"/>
        <v>0.61667582932448461</v>
      </c>
      <c r="T6" s="2">
        <f t="shared" si="3"/>
        <v>346.20928200957252</v>
      </c>
      <c r="U6" s="6">
        <f t="shared" ref="U6:U18" si="20">S6*L6/T6</f>
        <v>0.17480259042740812</v>
      </c>
      <c r="V6" s="4">
        <f t="shared" ref="V6:V18" si="21">U6/P6</f>
        <v>0.26649961809368922</v>
      </c>
      <c r="W6" s="4">
        <f t="shared" ref="W6:W34" si="22">POWER(V6*(1.9-0.9*V6),0.3)</f>
        <v>0.78298456917649617</v>
      </c>
      <c r="X6" s="3">
        <f t="shared" ref="X6:X18" si="23">0.6*A6*G6*E6*(1+0.5*SIN(N6*PI()/180)^1.5)*W6/1000</f>
        <v>19.864876156924343</v>
      </c>
      <c r="Y6" s="8">
        <f t="shared" ref="Y6:Y18" si="24">X6*COS(N6*PI()/180)</f>
        <v>16.193704269289768</v>
      </c>
      <c r="Z6" s="3">
        <f t="shared" ref="Z6:Z18" si="25">X6*SIN(N6*PI()/180)</f>
        <v>11.50553113805389</v>
      </c>
      <c r="AA6" s="3">
        <f t="shared" ref="AA6:AA18" si="26">L6*X6</f>
        <v>1949.4652893139362</v>
      </c>
      <c r="AB6" s="14" t="s">
        <v>4</v>
      </c>
    </row>
    <row r="7" spans="1:28">
      <c r="A7" s="7">
        <f t="shared" si="7"/>
        <v>490</v>
      </c>
      <c r="B7" s="3">
        <f t="shared" si="8"/>
        <v>213.839527</v>
      </c>
      <c r="D7" s="1">
        <f t="shared" si="9"/>
        <v>5</v>
      </c>
      <c r="E7" s="2">
        <v>10</v>
      </c>
      <c r="F7" s="20">
        <v>10</v>
      </c>
      <c r="G7" s="2">
        <f t="shared" si="10"/>
        <v>7.0710678118654746</v>
      </c>
      <c r="H7" s="20">
        <f t="shared" si="0"/>
        <v>147</v>
      </c>
      <c r="I7" s="2">
        <f t="shared" si="11"/>
        <v>80</v>
      </c>
      <c r="J7" s="20">
        <f t="shared" si="12"/>
        <v>-66.839527000000004</v>
      </c>
      <c r="K7" s="2">
        <f t="shared" si="13"/>
        <v>80</v>
      </c>
      <c r="L7" s="2">
        <f t="shared" si="14"/>
        <v>104.24740941425705</v>
      </c>
      <c r="M7" s="2">
        <f t="shared" si="15"/>
        <v>0.83549408750000009</v>
      </c>
      <c r="N7" s="2">
        <f t="shared" si="16"/>
        <v>39.878557024149842</v>
      </c>
      <c r="P7" s="4">
        <f t="shared" si="17"/>
        <v>0.63257050657285396</v>
      </c>
      <c r="Q7" s="4">
        <f t="shared" si="18"/>
        <v>0.90403075756930473</v>
      </c>
      <c r="R7" s="4">
        <f t="shared" si="19"/>
        <v>8.6719733626845208E-3</v>
      </c>
      <c r="S7" s="4">
        <f t="shared" si="2"/>
        <v>0.61667582932448461</v>
      </c>
      <c r="T7" s="2">
        <f t="shared" si="3"/>
        <v>346.20928200957252</v>
      </c>
      <c r="U7" s="6">
        <f t="shared" si="20"/>
        <v>0.18568785123932222</v>
      </c>
      <c r="V7" s="4">
        <f t="shared" si="21"/>
        <v>0.29354490813260248</v>
      </c>
      <c r="W7" s="4">
        <f t="shared" si="22"/>
        <v>0.80245777601961366</v>
      </c>
      <c r="X7" s="3">
        <f t="shared" si="23"/>
        <v>20.964541934310564</v>
      </c>
      <c r="Y7" s="8">
        <f t="shared" si="24"/>
        <v>16.088297677308738</v>
      </c>
      <c r="Z7" s="3">
        <f t="shared" si="25"/>
        <v>13.441677587331441</v>
      </c>
      <c r="AA7" s="3">
        <f t="shared" si="26"/>
        <v>2185.4991862084339</v>
      </c>
      <c r="AB7" s="3">
        <f>MAX(D3:D98)*E3/(2*K3)</f>
        <v>2</v>
      </c>
    </row>
    <row r="8" spans="1:28">
      <c r="A8" s="7">
        <f t="shared" si="7"/>
        <v>490</v>
      </c>
      <c r="B8" s="3">
        <f t="shared" si="8"/>
        <v>213.839527</v>
      </c>
      <c r="D8" s="1">
        <f t="shared" si="9"/>
        <v>6</v>
      </c>
      <c r="E8" s="2">
        <v>10</v>
      </c>
      <c r="F8" s="20">
        <v>10</v>
      </c>
      <c r="G8" s="2">
        <f t="shared" si="10"/>
        <v>7.0710678118654746</v>
      </c>
      <c r="H8" s="20">
        <f t="shared" si="0"/>
        <v>137</v>
      </c>
      <c r="I8" s="2">
        <f t="shared" si="11"/>
        <v>80</v>
      </c>
      <c r="J8" s="20">
        <f t="shared" si="12"/>
        <v>-76.839527000000004</v>
      </c>
      <c r="K8" s="2">
        <f t="shared" si="13"/>
        <v>80</v>
      </c>
      <c r="L8" s="2">
        <f t="shared" si="14"/>
        <v>110.92480745795203</v>
      </c>
      <c r="M8" s="2">
        <f t="shared" si="15"/>
        <v>0.96049408750000009</v>
      </c>
      <c r="N8" s="2">
        <f t="shared" si="16"/>
        <v>43.845589097254475</v>
      </c>
      <c r="P8" s="4">
        <f t="shared" si="17"/>
        <v>0.61451298991474035</v>
      </c>
      <c r="Q8" s="4">
        <f t="shared" si="18"/>
        <v>0.85658835810739964</v>
      </c>
      <c r="R8" s="4">
        <f t="shared" si="19"/>
        <v>7.722243362307429E-3</v>
      </c>
      <c r="S8" s="4">
        <f t="shared" si="2"/>
        <v>0.61667582932448461</v>
      </c>
      <c r="T8" s="2">
        <f t="shared" si="3"/>
        <v>346.20928200957252</v>
      </c>
      <c r="U8" s="6">
        <f t="shared" si="20"/>
        <v>0.19758178415880828</v>
      </c>
      <c r="V8" s="4">
        <f t="shared" si="21"/>
        <v>0.32152580564036809</v>
      </c>
      <c r="W8" s="4">
        <f t="shared" si="22"/>
        <v>0.82084890821039846</v>
      </c>
      <c r="X8" s="3">
        <f t="shared" si="23"/>
        <v>21.983835730577038</v>
      </c>
      <c r="Y8" s="8">
        <f t="shared" si="24"/>
        <v>15.854946235654557</v>
      </c>
      <c r="Z8" s="3">
        <f t="shared" si="25"/>
        <v>15.228582116976586</v>
      </c>
      <c r="AA8" s="3">
        <f t="shared" si="26"/>
        <v>2438.5527456015043</v>
      </c>
      <c r="AB8" s="3">
        <f>MAX(D3:D98)*E3</f>
        <v>320</v>
      </c>
    </row>
    <row r="9" spans="1:28">
      <c r="A9" s="7">
        <f t="shared" si="7"/>
        <v>490</v>
      </c>
      <c r="B9" s="3">
        <f t="shared" si="8"/>
        <v>213.839527</v>
      </c>
      <c r="D9" s="1">
        <f t="shared" si="9"/>
        <v>7</v>
      </c>
      <c r="E9" s="2">
        <v>10</v>
      </c>
      <c r="F9" s="20">
        <v>10</v>
      </c>
      <c r="G9" s="2">
        <f t="shared" si="10"/>
        <v>7.0710678118654746</v>
      </c>
      <c r="H9" s="20">
        <f t="shared" si="0"/>
        <v>127</v>
      </c>
      <c r="I9" s="2">
        <f t="shared" si="11"/>
        <v>80</v>
      </c>
      <c r="J9" s="20">
        <f t="shared" si="12"/>
        <v>-86.839527000000004</v>
      </c>
      <c r="K9" s="2">
        <f t="shared" si="13"/>
        <v>80</v>
      </c>
      <c r="L9" s="2">
        <f t="shared" si="14"/>
        <v>118.07245000246132</v>
      </c>
      <c r="M9" s="2">
        <f t="shared" si="15"/>
        <v>1.0854940875000001</v>
      </c>
      <c r="N9" s="2">
        <f t="shared" si="16"/>
        <v>47.347505625680711</v>
      </c>
      <c r="P9" s="4">
        <f t="shared" si="17"/>
        <v>0.60020750347178897</v>
      </c>
      <c r="Q9" s="4">
        <f t="shared" si="18"/>
        <v>0.81960644996172671</v>
      </c>
      <c r="R9" s="4">
        <f t="shared" si="19"/>
        <v>6.9415553750654052E-3</v>
      </c>
      <c r="S9" s="4">
        <f t="shared" si="2"/>
        <v>0.61667582932448461</v>
      </c>
      <c r="T9" s="2">
        <f t="shared" si="3"/>
        <v>346.20928200957252</v>
      </c>
      <c r="U9" s="6">
        <f t="shared" si="20"/>
        <v>0.21031332725397106</v>
      </c>
      <c r="V9" s="4">
        <f t="shared" si="21"/>
        <v>0.35040102970631426</v>
      </c>
      <c r="W9" s="4">
        <f t="shared" si="22"/>
        <v>0.8382020530247728</v>
      </c>
      <c r="X9" s="3">
        <f t="shared" si="23"/>
        <v>22.920795675388483</v>
      </c>
      <c r="Y9" s="8">
        <f t="shared" si="24"/>
        <v>15.529987342456721</v>
      </c>
      <c r="Z9" s="3">
        <f t="shared" si="25"/>
        <v>16.857709439186614</v>
      </c>
      <c r="AA9" s="3">
        <f t="shared" si="26"/>
        <v>2706.3145013989383</v>
      </c>
      <c r="AB9" s="3"/>
    </row>
    <row r="10" spans="1:28">
      <c r="A10" s="7">
        <f t="shared" si="7"/>
        <v>490</v>
      </c>
      <c r="B10" s="3">
        <f t="shared" si="8"/>
        <v>213.839527</v>
      </c>
      <c r="D10" s="1">
        <f t="shared" si="9"/>
        <v>8</v>
      </c>
      <c r="E10" s="2">
        <v>10</v>
      </c>
      <c r="F10" s="20">
        <v>10</v>
      </c>
      <c r="G10" s="2">
        <f t="shared" si="10"/>
        <v>7.0710678118654746</v>
      </c>
      <c r="H10" s="20">
        <f t="shared" si="0"/>
        <v>117</v>
      </c>
      <c r="I10" s="2">
        <f t="shared" si="11"/>
        <v>80</v>
      </c>
      <c r="J10" s="20">
        <f t="shared" si="12"/>
        <v>-96.839527000000004</v>
      </c>
      <c r="K10" s="2">
        <f t="shared" si="13"/>
        <v>80</v>
      </c>
      <c r="L10" s="2">
        <f t="shared" si="14"/>
        <v>125.61008713309505</v>
      </c>
      <c r="M10" s="2">
        <f t="shared" si="15"/>
        <v>1.2104940875000001</v>
      </c>
      <c r="N10" s="2">
        <f t="shared" si="16"/>
        <v>50.439583027317731</v>
      </c>
      <c r="P10" s="4">
        <f t="shared" si="17"/>
        <v>0.58864753889124333</v>
      </c>
      <c r="Q10" s="4">
        <f t="shared" si="18"/>
        <v>0.79013277402359861</v>
      </c>
      <c r="R10" s="4">
        <f t="shared" si="19"/>
        <v>6.2903608464691431E-3</v>
      </c>
      <c r="S10" s="4">
        <f t="shared" si="2"/>
        <v>0.61667582932448461</v>
      </c>
      <c r="T10" s="2">
        <f t="shared" si="3"/>
        <v>346.20928200957252</v>
      </c>
      <c r="U10" s="6">
        <f t="shared" si="20"/>
        <v>0.22373953755572737</v>
      </c>
      <c r="V10" s="4">
        <f t="shared" si="21"/>
        <v>0.38009084005881622</v>
      </c>
      <c r="W10" s="4">
        <f t="shared" si="22"/>
        <v>0.85453453713916794</v>
      </c>
      <c r="X10" s="3">
        <f t="shared" si="23"/>
        <v>23.777630855198602</v>
      </c>
      <c r="Y10" s="8">
        <f t="shared" si="24"/>
        <v>15.143771585798895</v>
      </c>
      <c r="Z10" s="3">
        <f t="shared" si="25"/>
        <v>18.331445967060059</v>
      </c>
      <c r="AA10" s="3">
        <f t="shared" si="26"/>
        <v>2986.7102835400656</v>
      </c>
      <c r="AB10" s="76" t="s">
        <v>164</v>
      </c>
    </row>
    <row r="11" spans="1:28">
      <c r="A11" s="7">
        <f t="shared" si="7"/>
        <v>490</v>
      </c>
      <c r="B11" s="3">
        <f t="shared" si="8"/>
        <v>213.839527</v>
      </c>
      <c r="D11" s="1">
        <f t="shared" si="9"/>
        <v>9</v>
      </c>
      <c r="E11" s="2">
        <v>10</v>
      </c>
      <c r="F11" s="20">
        <v>10</v>
      </c>
      <c r="G11" s="2">
        <f t="shared" si="10"/>
        <v>7.0710678118654746</v>
      </c>
      <c r="H11" s="20">
        <f t="shared" si="0"/>
        <v>107</v>
      </c>
      <c r="I11" s="2">
        <f t="shared" si="11"/>
        <v>80</v>
      </c>
      <c r="J11" s="20">
        <f t="shared" si="12"/>
        <v>-106.839527</v>
      </c>
      <c r="K11" s="2">
        <f t="shared" si="13"/>
        <v>80</v>
      </c>
      <c r="L11" s="2">
        <f t="shared" si="14"/>
        <v>133.4716618971373</v>
      </c>
      <c r="M11" s="2">
        <f t="shared" si="15"/>
        <v>1.3354940875000001</v>
      </c>
      <c r="N11" s="2">
        <f t="shared" si="16"/>
        <v>53.174624922023305</v>
      </c>
      <c r="P11" s="4">
        <f t="shared" si="17"/>
        <v>0.57914816076875297</v>
      </c>
      <c r="Q11" s="4">
        <f t="shared" si="18"/>
        <v>0.76619878698867683</v>
      </c>
      <c r="R11" s="4">
        <f t="shared" si="19"/>
        <v>5.7405353023862382E-3</v>
      </c>
      <c r="S11" s="4">
        <f t="shared" si="2"/>
        <v>0.61667582932448461</v>
      </c>
      <c r="T11" s="2">
        <f t="shared" si="3"/>
        <v>346.20928200957252</v>
      </c>
      <c r="U11" s="6">
        <f t="shared" si="20"/>
        <v>0.23774275292092997</v>
      </c>
      <c r="V11" s="4">
        <f t="shared" si="21"/>
        <v>0.41050420086865796</v>
      </c>
      <c r="W11" s="4">
        <f t="shared" si="22"/>
        <v>0.86985971134377105</v>
      </c>
      <c r="X11" s="3">
        <f t="shared" si="23"/>
        <v>24.558850140689845</v>
      </c>
      <c r="Y11" s="8">
        <f t="shared" si="24"/>
        <v>14.720038570953964</v>
      </c>
      <c r="Z11" s="3">
        <f t="shared" si="25"/>
        <v>19.65852447928097</v>
      </c>
      <c r="AA11" s="3">
        <f t="shared" si="26"/>
        <v>3277.9105425606176</v>
      </c>
      <c r="AB11" s="14" t="s">
        <v>4</v>
      </c>
    </row>
    <row r="12" spans="1:28">
      <c r="A12" s="7">
        <f t="shared" si="7"/>
        <v>490</v>
      </c>
      <c r="B12" s="3">
        <f t="shared" si="8"/>
        <v>213.839527</v>
      </c>
      <c r="D12" s="1">
        <f t="shared" si="9"/>
        <v>10</v>
      </c>
      <c r="E12" s="2">
        <v>10</v>
      </c>
      <c r="F12" s="20">
        <v>10</v>
      </c>
      <c r="G12" s="2">
        <f t="shared" si="10"/>
        <v>7.0710678118654746</v>
      </c>
      <c r="H12" s="20">
        <f t="shared" si="0"/>
        <v>97</v>
      </c>
      <c r="I12" s="2">
        <f t="shared" si="11"/>
        <v>80</v>
      </c>
      <c r="J12" s="20">
        <f t="shared" si="12"/>
        <v>-116.839527</v>
      </c>
      <c r="K12" s="2">
        <f t="shared" si="13"/>
        <v>80</v>
      </c>
      <c r="L12" s="2">
        <f t="shared" si="14"/>
        <v>141.60323114104327</v>
      </c>
      <c r="M12" s="2">
        <f t="shared" si="15"/>
        <v>1.4604940875000001</v>
      </c>
      <c r="N12" s="2">
        <f t="shared" si="16"/>
        <v>55.600565495029151</v>
      </c>
      <c r="P12" s="4">
        <f t="shared" si="17"/>
        <v>0.57122831545437558</v>
      </c>
      <c r="Q12" s="4">
        <f t="shared" si="18"/>
        <v>0.74644788136756879</v>
      </c>
      <c r="R12" s="4">
        <f t="shared" si="19"/>
        <v>5.2714042988473387E-3</v>
      </c>
      <c r="S12" s="4">
        <f t="shared" si="2"/>
        <v>0.61667582932448461</v>
      </c>
      <c r="T12" s="2">
        <f t="shared" si="3"/>
        <v>346.20928200957252</v>
      </c>
      <c r="U12" s="6">
        <f t="shared" si="20"/>
        <v>0.25222688858040232</v>
      </c>
      <c r="V12" s="4">
        <f t="shared" si="21"/>
        <v>0.44155179593954819</v>
      </c>
      <c r="W12" s="4">
        <f t="shared" si="22"/>
        <v>0.88419449243980119</v>
      </c>
      <c r="X12" s="3">
        <f t="shared" si="23"/>
        <v>25.269972350999097</v>
      </c>
      <c r="Y12" s="8">
        <f t="shared" si="24"/>
        <v>14.276494764913407</v>
      </c>
      <c r="Z12" s="3">
        <f t="shared" si="25"/>
        <v>20.850736194380737</v>
      </c>
      <c r="AA12" s="3">
        <f t="shared" si="26"/>
        <v>3578.3097357462975</v>
      </c>
      <c r="AB12" s="77">
        <v>3</v>
      </c>
    </row>
    <row r="13" spans="1:28">
      <c r="A13" s="7">
        <f t="shared" si="7"/>
        <v>490</v>
      </c>
      <c r="B13" s="3">
        <f t="shared" si="8"/>
        <v>213.839527</v>
      </c>
      <c r="D13" s="1">
        <f t="shared" si="9"/>
        <v>11</v>
      </c>
      <c r="E13" s="2">
        <v>10</v>
      </c>
      <c r="F13" s="20">
        <v>10</v>
      </c>
      <c r="G13" s="2">
        <f t="shared" si="10"/>
        <v>7.0710678118654746</v>
      </c>
      <c r="H13" s="20">
        <f t="shared" si="0"/>
        <v>87</v>
      </c>
      <c r="I13" s="2">
        <f t="shared" si="11"/>
        <v>80</v>
      </c>
      <c r="J13" s="20">
        <f t="shared" si="12"/>
        <v>-126.839527</v>
      </c>
      <c r="K13" s="2">
        <f t="shared" si="13"/>
        <v>80</v>
      </c>
      <c r="L13" s="2">
        <f t="shared" si="14"/>
        <v>149.96088026409998</v>
      </c>
      <c r="M13" s="2">
        <f t="shared" si="15"/>
        <v>1.5854940875000001</v>
      </c>
      <c r="N13" s="2">
        <f t="shared" si="16"/>
        <v>57.759623259067837</v>
      </c>
      <c r="P13" s="4">
        <f t="shared" si="17"/>
        <v>0.56454137127441506</v>
      </c>
      <c r="Q13" s="4">
        <f t="shared" si="18"/>
        <v>0.72991924036895672</v>
      </c>
      <c r="R13" s="4">
        <f t="shared" si="19"/>
        <v>4.8673976778709025E-3</v>
      </c>
      <c r="S13" s="4">
        <f t="shared" si="2"/>
        <v>0.61667582932448461</v>
      </c>
      <c r="T13" s="2">
        <f t="shared" si="3"/>
        <v>346.20928200957252</v>
      </c>
      <c r="U13" s="6">
        <f t="shared" si="20"/>
        <v>0.26711372285084095</v>
      </c>
      <c r="V13" s="4">
        <f t="shared" si="21"/>
        <v>0.47315172358023871</v>
      </c>
      <c r="W13" s="4">
        <f t="shared" si="22"/>
        <v>0.89756068139909861</v>
      </c>
      <c r="X13" s="3">
        <f t="shared" si="23"/>
        <v>25.916735340526735</v>
      </c>
      <c r="Y13" s="8">
        <f t="shared" si="24"/>
        <v>13.825864609428326</v>
      </c>
      <c r="Z13" s="3">
        <f t="shared" si="25"/>
        <v>21.920826592824113</v>
      </c>
      <c r="AA13" s="3">
        <f t="shared" si="26"/>
        <v>3886.4964452370982</v>
      </c>
      <c r="AB13" s="77">
        <f>AB12*K3*2</f>
        <v>480</v>
      </c>
    </row>
    <row r="14" spans="1:28">
      <c r="A14" s="7">
        <f t="shared" si="7"/>
        <v>490</v>
      </c>
      <c r="B14" s="3">
        <f t="shared" si="8"/>
        <v>213.839527</v>
      </c>
      <c r="D14" s="1">
        <f t="shared" si="9"/>
        <v>12</v>
      </c>
      <c r="E14" s="2">
        <v>10</v>
      </c>
      <c r="F14" s="20">
        <v>10</v>
      </c>
      <c r="G14" s="2">
        <f t="shared" si="10"/>
        <v>7.0710678118654746</v>
      </c>
      <c r="H14" s="20">
        <f t="shared" si="0"/>
        <v>77</v>
      </c>
      <c r="I14" s="2">
        <f t="shared" si="11"/>
        <v>80</v>
      </c>
      <c r="J14" s="20">
        <f t="shared" si="12"/>
        <v>-136.839527</v>
      </c>
      <c r="K14" s="2">
        <f t="shared" si="13"/>
        <v>80</v>
      </c>
      <c r="L14" s="2">
        <f t="shared" si="14"/>
        <v>158.50885195970517</v>
      </c>
      <c r="M14" s="2">
        <f t="shared" si="15"/>
        <v>1.7104940875000001</v>
      </c>
      <c r="N14" s="2">
        <f t="shared" si="16"/>
        <v>59.688316417281065</v>
      </c>
      <c r="P14" s="4">
        <f t="shared" si="17"/>
        <v>0.55883211012326417</v>
      </c>
      <c r="Q14" s="4">
        <f t="shared" si="18"/>
        <v>0.71591631370299991</v>
      </c>
      <c r="R14" s="4">
        <f t="shared" si="19"/>
        <v>4.5165699256026048E-3</v>
      </c>
      <c r="S14" s="4">
        <f t="shared" si="2"/>
        <v>0.61667582932448461</v>
      </c>
      <c r="T14" s="2">
        <f t="shared" si="3"/>
        <v>346.20928200957252</v>
      </c>
      <c r="U14" s="6">
        <f t="shared" si="20"/>
        <v>0.28233956400631816</v>
      </c>
      <c r="V14" s="4">
        <f t="shared" si="21"/>
        <v>0.50523146199319369</v>
      </c>
      <c r="W14" s="4">
        <f t="shared" si="22"/>
        <v>0.90998402314685045</v>
      </c>
      <c r="X14" s="3">
        <f t="shared" si="23"/>
        <v>26.504656593045578</v>
      </c>
      <c r="Y14" s="8">
        <f t="shared" si="24"/>
        <v>13.376997569717245</v>
      </c>
      <c r="Z14" s="3">
        <f t="shared" si="25"/>
        <v>22.881275251503212</v>
      </c>
      <c r="AA14" s="3">
        <f t="shared" si="26"/>
        <v>4201.2226881498855</v>
      </c>
      <c r="AB14" s="3"/>
    </row>
    <row r="15" spans="1:28">
      <c r="A15" s="7">
        <f t="shared" si="7"/>
        <v>490</v>
      </c>
      <c r="B15" s="3">
        <f t="shared" si="8"/>
        <v>213.839527</v>
      </c>
      <c r="D15" s="1">
        <f t="shared" si="9"/>
        <v>13</v>
      </c>
      <c r="E15" s="2">
        <v>10</v>
      </c>
      <c r="F15" s="20">
        <v>10</v>
      </c>
      <c r="G15" s="2">
        <f t="shared" si="10"/>
        <v>7.0710678118654746</v>
      </c>
      <c r="H15" s="20">
        <f t="shared" si="0"/>
        <v>67</v>
      </c>
      <c r="I15" s="2">
        <f t="shared" si="11"/>
        <v>80</v>
      </c>
      <c r="J15" s="20">
        <f t="shared" si="12"/>
        <v>-146.839527</v>
      </c>
      <c r="K15" s="2">
        <f t="shared" si="13"/>
        <v>80</v>
      </c>
      <c r="L15" s="2">
        <f t="shared" si="14"/>
        <v>167.2179616236956</v>
      </c>
      <c r="M15" s="2">
        <f t="shared" si="15"/>
        <v>1.8354940875000001</v>
      </c>
      <c r="N15" s="2">
        <f t="shared" si="16"/>
        <v>61.417902310698551</v>
      </c>
      <c r="P15" s="4">
        <f t="shared" si="17"/>
        <v>0.55390908311883236</v>
      </c>
      <c r="Q15" s="4">
        <f t="shared" si="18"/>
        <v>0.70392378685967771</v>
      </c>
      <c r="R15" s="4">
        <f t="shared" si="19"/>
        <v>4.2096182732078479E-3</v>
      </c>
      <c r="S15" s="4">
        <f t="shared" si="2"/>
        <v>0.61667582932448461</v>
      </c>
      <c r="T15" s="2">
        <f t="shared" si="3"/>
        <v>346.20928200957252</v>
      </c>
      <c r="U15" s="6">
        <f t="shared" si="20"/>
        <v>0.29785242776763893</v>
      </c>
      <c r="V15" s="4">
        <f t="shared" si="21"/>
        <v>0.53772800779968333</v>
      </c>
      <c r="W15" s="4">
        <f t="shared" si="22"/>
        <v>0.92149269053497873</v>
      </c>
      <c r="X15" s="3">
        <f t="shared" si="23"/>
        <v>27.038817171386398</v>
      </c>
      <c r="Y15" s="8">
        <f t="shared" si="24"/>
        <v>12.93584345070972</v>
      </c>
      <c r="Z15" s="3">
        <f t="shared" si="25"/>
        <v>23.743664170603289</v>
      </c>
      <c r="AA15" s="3">
        <f t="shared" si="26"/>
        <v>4521.375892115012</v>
      </c>
      <c r="AB15" s="3"/>
    </row>
    <row r="16" spans="1:28">
      <c r="A16" s="7">
        <f t="shared" si="7"/>
        <v>490</v>
      </c>
      <c r="B16" s="3">
        <f t="shared" si="8"/>
        <v>213.839527</v>
      </c>
      <c r="D16" s="1">
        <f t="shared" si="9"/>
        <v>14</v>
      </c>
      <c r="E16" s="2">
        <v>10</v>
      </c>
      <c r="F16" s="20">
        <v>10</v>
      </c>
      <c r="G16" s="2">
        <f t="shared" si="10"/>
        <v>7.0710678118654746</v>
      </c>
      <c r="H16" s="20">
        <f t="shared" si="0"/>
        <v>57</v>
      </c>
      <c r="I16" s="2">
        <f t="shared" si="11"/>
        <v>80</v>
      </c>
      <c r="J16" s="20">
        <f t="shared" si="12"/>
        <v>-156.839527</v>
      </c>
      <c r="K16" s="2">
        <f t="shared" si="13"/>
        <v>80</v>
      </c>
      <c r="L16" s="2">
        <f t="shared" si="14"/>
        <v>176.06429856613104</v>
      </c>
      <c r="M16" s="2">
        <f t="shared" si="15"/>
        <v>1.9604940875000001</v>
      </c>
      <c r="N16" s="2">
        <f t="shared" si="16"/>
        <v>62.974985631418924</v>
      </c>
      <c r="P16" s="4">
        <f t="shared" si="17"/>
        <v>0.54962629846526978</v>
      </c>
      <c r="Q16" s="4">
        <f t="shared" si="18"/>
        <v>0.69355353867038938</v>
      </c>
      <c r="R16" s="4">
        <f t="shared" si="19"/>
        <v>3.939205985078716E-3</v>
      </c>
      <c r="S16" s="4">
        <f t="shared" si="2"/>
        <v>0.61667582932448461</v>
      </c>
      <c r="T16" s="2">
        <f t="shared" si="3"/>
        <v>346.20928200957252</v>
      </c>
      <c r="U16" s="6">
        <f t="shared" si="20"/>
        <v>0.31360972387129843</v>
      </c>
      <c r="V16" s="4">
        <f t="shared" si="21"/>
        <v>0.57058718759818416</v>
      </c>
      <c r="W16" s="4">
        <f t="shared" si="22"/>
        <v>0.93211584713483397</v>
      </c>
      <c r="X16" s="3">
        <f t="shared" si="23"/>
        <v>27.523777807327075</v>
      </c>
      <c r="Y16" s="8">
        <f t="shared" si="24"/>
        <v>12.506239155345369</v>
      </c>
      <c r="Z16" s="3">
        <f t="shared" si="25"/>
        <v>24.5184079209156</v>
      </c>
      <c r="AA16" s="3">
        <f t="shared" si="26"/>
        <v>4845.954633537086</v>
      </c>
      <c r="AB16" s="3"/>
    </row>
    <row r="17" spans="1:28">
      <c r="A17" s="7">
        <f t="shared" si="7"/>
        <v>490</v>
      </c>
      <c r="B17" s="3">
        <f t="shared" si="8"/>
        <v>213.839527</v>
      </c>
      <c r="D17" s="1">
        <f t="shared" si="9"/>
        <v>15</v>
      </c>
      <c r="E17" s="2">
        <v>10</v>
      </c>
      <c r="F17" s="20">
        <v>10</v>
      </c>
      <c r="G17" s="2">
        <f t="shared" si="10"/>
        <v>7.0710678118654746</v>
      </c>
      <c r="H17" s="20">
        <f t="shared" si="0"/>
        <v>47</v>
      </c>
      <c r="I17" s="2">
        <f t="shared" si="11"/>
        <v>80</v>
      </c>
      <c r="J17" s="20">
        <f t="shared" si="12"/>
        <v>-166.839527</v>
      </c>
      <c r="K17" s="2">
        <f t="shared" si="13"/>
        <v>80</v>
      </c>
      <c r="L17" s="2">
        <f t="shared" si="14"/>
        <v>185.02818101463282</v>
      </c>
      <c r="M17" s="2">
        <f t="shared" si="15"/>
        <v>2.0854940874999999</v>
      </c>
      <c r="N17" s="2">
        <f t="shared" si="16"/>
        <v>64.3821573559661</v>
      </c>
      <c r="P17" s="4">
        <f t="shared" si="17"/>
        <v>0.54587078328474714</v>
      </c>
      <c r="Q17" s="4">
        <f t="shared" si="18"/>
        <v>0.68450853955455082</v>
      </c>
      <c r="R17" s="4">
        <f t="shared" si="19"/>
        <v>3.6994826182743315E-3</v>
      </c>
      <c r="S17" s="4">
        <f t="shared" si="2"/>
        <v>0.61667582932448461</v>
      </c>
      <c r="T17" s="2">
        <f t="shared" si="3"/>
        <v>346.20928200957252</v>
      </c>
      <c r="U17" s="6">
        <f t="shared" si="20"/>
        <v>0.32957639469771544</v>
      </c>
      <c r="V17" s="4">
        <f t="shared" si="21"/>
        <v>0.60376265737196588</v>
      </c>
      <c r="W17" s="4">
        <f t="shared" si="22"/>
        <v>0.94188249445456751</v>
      </c>
      <c r="X17" s="3">
        <f t="shared" si="23"/>
        <v>27.963568243909215</v>
      </c>
      <c r="Y17" s="8">
        <f t="shared" si="24"/>
        <v>12.090512089808737</v>
      </c>
      <c r="Z17" s="3">
        <f t="shared" si="25"/>
        <v>25.214691478143386</v>
      </c>
      <c r="AA17" s="3">
        <f t="shared" si="26"/>
        <v>5174.048166849072</v>
      </c>
      <c r="AB17" s="3"/>
    </row>
    <row r="18" spans="1:28">
      <c r="A18" s="7">
        <f t="shared" si="7"/>
        <v>490</v>
      </c>
      <c r="B18" s="3">
        <f t="shared" si="8"/>
        <v>213.839527</v>
      </c>
      <c r="D18" s="1">
        <f t="shared" si="9"/>
        <v>16</v>
      </c>
      <c r="E18" s="2">
        <v>10</v>
      </c>
      <c r="F18" s="20">
        <v>10</v>
      </c>
      <c r="G18" s="2">
        <f t="shared" si="10"/>
        <v>7.0710678118654746</v>
      </c>
      <c r="H18" s="20">
        <f t="shared" si="0"/>
        <v>37</v>
      </c>
      <c r="I18" s="2">
        <f t="shared" si="11"/>
        <v>80</v>
      </c>
      <c r="J18" s="20">
        <f t="shared" si="12"/>
        <v>-176.839527</v>
      </c>
      <c r="K18" s="2">
        <f t="shared" si="13"/>
        <v>80</v>
      </c>
      <c r="L18" s="2">
        <f t="shared" si="14"/>
        <v>194.09332371203223</v>
      </c>
      <c r="M18" s="2">
        <f t="shared" si="15"/>
        <v>2.2104940874999999</v>
      </c>
      <c r="N18" s="2">
        <f t="shared" si="16"/>
        <v>65.658596364106955</v>
      </c>
      <c r="P18" s="4">
        <f t="shared" si="17"/>
        <v>0.54255395207161705</v>
      </c>
      <c r="Q18" s="4">
        <f t="shared" si="18"/>
        <v>0.6765581826821333</v>
      </c>
      <c r="R18" s="4">
        <f t="shared" si="19"/>
        <v>3.4857364990354489E-3</v>
      </c>
      <c r="S18" s="4">
        <f t="shared" si="2"/>
        <v>0.61667582932448461</v>
      </c>
      <c r="T18" s="2">
        <f t="shared" si="3"/>
        <v>346.20928200957252</v>
      </c>
      <c r="U18" s="6">
        <f t="shared" si="20"/>
        <v>0.34572343257727473</v>
      </c>
      <c r="V18" s="4">
        <f t="shared" si="21"/>
        <v>0.63721484519135763</v>
      </c>
      <c r="W18" s="4">
        <f t="shared" si="22"/>
        <v>0.95082062527336542</v>
      </c>
      <c r="X18" s="3">
        <f t="shared" si="23"/>
        <v>28.361714040846667</v>
      </c>
      <c r="Y18" s="8">
        <f t="shared" si="24"/>
        <v>11.689928740846629</v>
      </c>
      <c r="Z18" s="3">
        <f t="shared" si="25"/>
        <v>25.840518364937783</v>
      </c>
      <c r="AA18" s="3">
        <f t="shared" si="26"/>
        <v>5504.8193443581422</v>
      </c>
      <c r="AB18" s="3"/>
    </row>
    <row r="19" spans="1:28">
      <c r="A19" s="7">
        <f t="shared" ref="A19:A26" si="27">A18</f>
        <v>490</v>
      </c>
      <c r="B19" s="3">
        <f t="shared" ref="B19:B26" si="28">B18</f>
        <v>213.839527</v>
      </c>
      <c r="D19" s="1">
        <f t="shared" ref="D19:D26" si="29">D18+1</f>
        <v>17</v>
      </c>
      <c r="E19" s="2">
        <v>10</v>
      </c>
      <c r="F19" s="20">
        <v>10</v>
      </c>
      <c r="G19" s="2">
        <f t="shared" si="10"/>
        <v>7.0710678118654746</v>
      </c>
      <c r="H19" s="20">
        <f t="shared" si="0"/>
        <v>27</v>
      </c>
      <c r="I19" s="2">
        <f t="shared" ref="I19:I26" si="30">I18</f>
        <v>80</v>
      </c>
      <c r="J19" s="20">
        <f t="shared" ref="J19:J26" si="31">H19-B19</f>
        <v>-186.839527</v>
      </c>
      <c r="K19" s="2">
        <f t="shared" ref="K19:K26" si="32">I19</f>
        <v>80</v>
      </c>
      <c r="L19" s="2">
        <f t="shared" ref="L19:L26" si="33">SQRT(J19^2+K19^2)</f>
        <v>203.24617794581951</v>
      </c>
      <c r="M19" s="2">
        <f t="shared" ref="M19:M26" si="34">ABS(J19/K19)</f>
        <v>2.3354940874999999</v>
      </c>
      <c r="N19" s="2">
        <f t="shared" si="16"/>
        <v>66.820605137875702</v>
      </c>
      <c r="P19" s="4">
        <f t="shared" ref="P19:P26" si="35">0.209 * (N19+2)^-0.32 * F19</f>
        <v>0.53960550326958479</v>
      </c>
      <c r="Q19" s="4">
        <f t="shared" ref="Q19:Q26" si="36">MIN(1.087*(N19+6)^-0.65 * F19, 0.17*F19)</f>
        <v>0.66952108669513388</v>
      </c>
      <c r="R19" s="4">
        <f t="shared" ref="R19:R26" si="37">Q19/L19</f>
        <v>3.2941386325779369E-3</v>
      </c>
      <c r="S19" s="4">
        <f t="shared" si="2"/>
        <v>0.61667582932448461</v>
      </c>
      <c r="T19" s="2">
        <f t="shared" si="3"/>
        <v>346.20928200957252</v>
      </c>
      <c r="U19" s="6">
        <f t="shared" ref="U19:U26" si="38">S19*L19/T19</f>
        <v>0.3620267042358053</v>
      </c>
      <c r="V19" s="4">
        <f t="shared" ref="V19:V26" si="39">U19/P19</f>
        <v>0.67090995559201738</v>
      </c>
      <c r="W19" s="4">
        <f t="shared" si="22"/>
        <v>0.95895663916384655</v>
      </c>
      <c r="X19" s="3">
        <f t="shared" ref="X19:X26" si="40">0.6*A19*G19*E19*(1+0.5*SIN(N19*PI()/180)^1.5)*W19/1000</f>
        <v>28.721280066832971</v>
      </c>
      <c r="Y19" s="8">
        <f t="shared" ref="Y19:Y26" si="41">X19*COS(N19*PI()/180)</f>
        <v>11.30502146987064</v>
      </c>
      <c r="Z19" s="3">
        <f t="shared" ref="Z19:Z26" si="42">X19*SIN(N19*PI()/180)</f>
        <v>26.402810801943435</v>
      </c>
      <c r="AA19" s="3">
        <f t="shared" ref="AA19:AA26" si="43">L19*X19</f>
        <v>5837.4903992952532</v>
      </c>
      <c r="AB19" s="3"/>
    </row>
    <row r="20" spans="1:28">
      <c r="A20" s="7">
        <f t="shared" si="27"/>
        <v>490</v>
      </c>
      <c r="B20" s="3">
        <f t="shared" si="28"/>
        <v>213.839527</v>
      </c>
      <c r="D20" s="1">
        <f t="shared" si="29"/>
        <v>18</v>
      </c>
      <c r="E20" s="2">
        <v>10</v>
      </c>
      <c r="F20" s="20">
        <v>10</v>
      </c>
      <c r="G20" s="2">
        <f t="shared" si="10"/>
        <v>7.0710678118654746</v>
      </c>
      <c r="H20" s="20">
        <f t="shared" si="0"/>
        <v>17</v>
      </c>
      <c r="I20" s="2">
        <f t="shared" si="30"/>
        <v>80</v>
      </c>
      <c r="J20" s="20">
        <f t="shared" si="31"/>
        <v>-196.839527</v>
      </c>
      <c r="K20" s="2">
        <f t="shared" si="32"/>
        <v>80</v>
      </c>
      <c r="L20" s="2">
        <f t="shared" si="33"/>
        <v>212.47540890555717</v>
      </c>
      <c r="M20" s="2">
        <f t="shared" si="34"/>
        <v>2.4604940874999999</v>
      </c>
      <c r="N20" s="2">
        <f t="shared" si="16"/>
        <v>67.882071904362817</v>
      </c>
      <c r="P20" s="4">
        <f t="shared" si="35"/>
        <v>0.53696903074868962</v>
      </c>
      <c r="Q20" s="4">
        <f t="shared" si="36"/>
        <v>0.66325289022946587</v>
      </c>
      <c r="R20" s="4">
        <f t="shared" si="37"/>
        <v>3.1215513063174009E-3</v>
      </c>
      <c r="S20" s="4">
        <f t="shared" si="2"/>
        <v>0.61667582932448461</v>
      </c>
      <c r="T20" s="2">
        <f t="shared" si="3"/>
        <v>346.20928200957252</v>
      </c>
      <c r="U20" s="6">
        <f t="shared" si="38"/>
        <v>0.37846601985174561</v>
      </c>
      <c r="V20" s="4">
        <f t="shared" si="39"/>
        <v>0.7048190830001031</v>
      </c>
      <c r="W20" s="4">
        <f t="shared" si="22"/>
        <v>0.9663149608996523</v>
      </c>
      <c r="X20" s="3">
        <f t="shared" si="40"/>
        <v>29.04491913855038</v>
      </c>
      <c r="Y20" s="8">
        <f t="shared" si="41"/>
        <v>10.935823317402541</v>
      </c>
      <c r="Z20" s="3">
        <f t="shared" si="42"/>
        <v>26.907528614413568</v>
      </c>
      <c r="AA20" s="3">
        <f t="shared" si="43"/>
        <v>6171.3310705923359</v>
      </c>
      <c r="AB20" s="3"/>
    </row>
    <row r="21" spans="1:28">
      <c r="A21" s="7">
        <f t="shared" si="27"/>
        <v>490</v>
      </c>
      <c r="B21" s="3">
        <f t="shared" si="28"/>
        <v>213.839527</v>
      </c>
      <c r="D21" s="1">
        <f t="shared" si="29"/>
        <v>19</v>
      </c>
      <c r="E21" s="2">
        <v>10</v>
      </c>
      <c r="F21" s="20">
        <v>10</v>
      </c>
      <c r="G21" s="2">
        <f t="shared" si="10"/>
        <v>7.0710678118654746</v>
      </c>
      <c r="H21" s="20">
        <f t="shared" si="0"/>
        <v>7</v>
      </c>
      <c r="I21" s="2">
        <f t="shared" si="30"/>
        <v>80</v>
      </c>
      <c r="J21" s="20">
        <f t="shared" si="31"/>
        <v>-206.839527</v>
      </c>
      <c r="K21" s="2">
        <f t="shared" si="32"/>
        <v>80</v>
      </c>
      <c r="L21" s="2">
        <f t="shared" si="33"/>
        <v>221.77148132612481</v>
      </c>
      <c r="M21" s="2">
        <f t="shared" si="34"/>
        <v>2.5854940874999999</v>
      </c>
      <c r="N21" s="2">
        <f t="shared" si="16"/>
        <v>68.854861941029725</v>
      </c>
      <c r="P21" s="4">
        <f t="shared" si="35"/>
        <v>0.53459882039412621</v>
      </c>
      <c r="Q21" s="4">
        <f t="shared" si="36"/>
        <v>0.657637447714849</v>
      </c>
      <c r="R21" s="4">
        <f t="shared" si="37"/>
        <v>2.9653833025886857E-3</v>
      </c>
      <c r="S21" s="4">
        <f t="shared" si="2"/>
        <v>0.61667582932448461</v>
      </c>
      <c r="T21" s="2">
        <f t="shared" si="3"/>
        <v>346.20928200957252</v>
      </c>
      <c r="U21" s="6">
        <f t="shared" si="38"/>
        <v>0.39502439499448799</v>
      </c>
      <c r="V21" s="4">
        <f t="shared" si="39"/>
        <v>0.7389174459892397</v>
      </c>
      <c r="W21" s="4">
        <f t="shared" si="22"/>
        <v>0.97291780646541148</v>
      </c>
      <c r="X21" s="3">
        <f t="shared" si="40"/>
        <v>29.334919738241425</v>
      </c>
      <c r="Y21" s="8">
        <f t="shared" si="41"/>
        <v>10.582035007505088</v>
      </c>
      <c r="Z21" s="3">
        <f t="shared" si="42"/>
        <v>27.359788945622427</v>
      </c>
      <c r="AA21" s="3">
        <f t="shared" si="43"/>
        <v>6505.6486049327787</v>
      </c>
      <c r="AB21" s="3"/>
    </row>
    <row r="22" spans="1:28">
      <c r="A22" s="7">
        <f t="shared" si="27"/>
        <v>490</v>
      </c>
      <c r="B22" s="3">
        <f t="shared" si="28"/>
        <v>213.839527</v>
      </c>
      <c r="D22" s="1">
        <f t="shared" si="29"/>
        <v>20</v>
      </c>
      <c r="E22" s="2">
        <v>10</v>
      </c>
      <c r="F22" s="20">
        <v>10</v>
      </c>
      <c r="G22" s="2">
        <f t="shared" si="10"/>
        <v>7.0710678118654746</v>
      </c>
      <c r="H22" s="20">
        <f t="shared" si="0"/>
        <v>-3</v>
      </c>
      <c r="I22" s="2">
        <f t="shared" si="30"/>
        <v>80</v>
      </c>
      <c r="J22" s="20">
        <f t="shared" si="31"/>
        <v>-216.839527</v>
      </c>
      <c r="K22" s="2">
        <f t="shared" si="32"/>
        <v>80</v>
      </c>
      <c r="L22" s="2">
        <f t="shared" si="33"/>
        <v>231.12633010884704</v>
      </c>
      <c r="M22" s="2">
        <f t="shared" si="34"/>
        <v>2.7104940874999999</v>
      </c>
      <c r="N22" s="2">
        <f t="shared" si="16"/>
        <v>69.749145264563097</v>
      </c>
      <c r="P22" s="4">
        <f t="shared" si="35"/>
        <v>0.53245747942876609</v>
      </c>
      <c r="Q22" s="4">
        <f t="shared" si="36"/>
        <v>0.65258038412276309</v>
      </c>
      <c r="R22" s="4">
        <f t="shared" si="37"/>
        <v>2.8234791934585546E-3</v>
      </c>
      <c r="S22" s="4">
        <f t="shared" si="2"/>
        <v>0.61667582932448461</v>
      </c>
      <c r="T22" s="2">
        <f t="shared" si="3"/>
        <v>346.20928200957252</v>
      </c>
      <c r="U22" s="6">
        <f t="shared" si="38"/>
        <v>0.41168746392725825</v>
      </c>
      <c r="V22" s="4">
        <f t="shared" si="39"/>
        <v>0.77318373735481571</v>
      </c>
      <c r="W22" s="4">
        <f t="shared" si="22"/>
        <v>0.978785051333946</v>
      </c>
      <c r="X22" s="3">
        <f t="shared" si="40"/>
        <v>29.593249884284159</v>
      </c>
      <c r="Y22" s="8">
        <f t="shared" si="41"/>
        <v>10.243142742013845</v>
      </c>
      <c r="Z22" s="3">
        <f t="shared" si="42"/>
        <v>27.763977839647065</v>
      </c>
      <c r="AA22" s="3">
        <f t="shared" si="43"/>
        <v>6839.7792417486598</v>
      </c>
      <c r="AB22" s="3"/>
    </row>
    <row r="23" spans="1:28">
      <c r="A23" s="7">
        <f t="shared" si="27"/>
        <v>490</v>
      </c>
      <c r="B23" s="3">
        <f t="shared" si="28"/>
        <v>213.839527</v>
      </c>
      <c r="D23" s="1">
        <f t="shared" si="29"/>
        <v>21</v>
      </c>
      <c r="E23" s="2">
        <v>10</v>
      </c>
      <c r="F23" s="20">
        <v>10</v>
      </c>
      <c r="G23" s="2">
        <f t="shared" si="10"/>
        <v>7.0710678118654746</v>
      </c>
      <c r="H23" s="20">
        <f t="shared" si="0"/>
        <v>-13</v>
      </c>
      <c r="I23" s="2">
        <f t="shared" si="30"/>
        <v>80</v>
      </c>
      <c r="J23" s="20">
        <f t="shared" si="31"/>
        <v>-226.839527</v>
      </c>
      <c r="K23" s="2">
        <f t="shared" si="32"/>
        <v>80</v>
      </c>
      <c r="L23" s="2">
        <f t="shared" si="33"/>
        <v>240.53309753458822</v>
      </c>
      <c r="M23" s="2">
        <f t="shared" si="34"/>
        <v>2.8354940874999999</v>
      </c>
      <c r="N23" s="2">
        <f t="shared" si="16"/>
        <v>70.57366934091192</v>
      </c>
      <c r="P23" s="4">
        <f t="shared" si="35"/>
        <v>0.5305141597493962</v>
      </c>
      <c r="Q23" s="4">
        <f t="shared" si="36"/>
        <v>0.64800431230780942</v>
      </c>
      <c r="R23" s="4">
        <f t="shared" si="37"/>
        <v>2.6940338728836583E-3</v>
      </c>
      <c r="S23" s="4">
        <f t="shared" si="2"/>
        <v>0.61667582932448461</v>
      </c>
      <c r="T23" s="2">
        <f t="shared" si="3"/>
        <v>346.20928200957252</v>
      </c>
      <c r="U23" s="6">
        <f t="shared" si="38"/>
        <v>0.42844301152511577</v>
      </c>
      <c r="V23" s="4">
        <f t="shared" si="39"/>
        <v>0.80759957797828297</v>
      </c>
      <c r="W23" s="4">
        <f t="shared" si="22"/>
        <v>0.98393416606093087</v>
      </c>
      <c r="X23" s="3">
        <f t="shared" si="40"/>
        <v>29.821595976407174</v>
      </c>
      <c r="Y23" s="8">
        <f t="shared" si="41"/>
        <v>9.918500624511811</v>
      </c>
      <c r="Z23" s="3">
        <f t="shared" si="42"/>
        <v>28.123849877668302</v>
      </c>
      <c r="AA23" s="3">
        <f t="shared" si="43"/>
        <v>7173.0808536302302</v>
      </c>
      <c r="AB23" s="3"/>
    </row>
    <row r="24" spans="1:28">
      <c r="A24" s="7">
        <f t="shared" si="27"/>
        <v>490</v>
      </c>
      <c r="B24" s="3">
        <f t="shared" si="28"/>
        <v>213.839527</v>
      </c>
      <c r="D24" s="1">
        <f t="shared" si="29"/>
        <v>22</v>
      </c>
      <c r="E24" s="2">
        <v>10</v>
      </c>
      <c r="F24" s="20">
        <v>10</v>
      </c>
      <c r="G24" s="2">
        <f t="shared" si="10"/>
        <v>7.0710678118654746</v>
      </c>
      <c r="H24" s="20">
        <f t="shared" si="0"/>
        <v>-23</v>
      </c>
      <c r="I24" s="2">
        <f t="shared" si="30"/>
        <v>80</v>
      </c>
      <c r="J24" s="20">
        <f t="shared" si="31"/>
        <v>-236.839527</v>
      </c>
      <c r="K24" s="2">
        <f t="shared" si="32"/>
        <v>80</v>
      </c>
      <c r="L24" s="2">
        <f t="shared" si="33"/>
        <v>249.98592270282685</v>
      </c>
      <c r="M24" s="2">
        <f t="shared" si="34"/>
        <v>2.9604940874999999</v>
      </c>
      <c r="N24" s="2">
        <f t="shared" si="16"/>
        <v>71.335985341391066</v>
      </c>
      <c r="P24" s="4">
        <f t="shared" si="35"/>
        <v>0.5287432108670731</v>
      </c>
      <c r="Q24" s="4">
        <f t="shared" si="36"/>
        <v>0.64384523954771</v>
      </c>
      <c r="R24" s="4">
        <f t="shared" si="37"/>
        <v>2.575525983969454E-3</v>
      </c>
      <c r="S24" s="4">
        <f t="shared" si="2"/>
        <v>0.61667582932448461</v>
      </c>
      <c r="T24" s="2">
        <f t="shared" si="3"/>
        <v>346.20928200957252</v>
      </c>
      <c r="U24" s="6">
        <f t="shared" si="38"/>
        <v>0.44528059821905586</v>
      </c>
      <c r="V24" s="4">
        <f t="shared" si="39"/>
        <v>0.84214906038954351</v>
      </c>
      <c r="W24" s="4">
        <f t="shared" si="22"/>
        <v>0.98838019313223402</v>
      </c>
      <c r="X24" s="3">
        <f t="shared" si="40"/>
        <v>30.021396368211068</v>
      </c>
      <c r="Y24" s="8">
        <f t="shared" si="41"/>
        <v>9.6073878220412574</v>
      </c>
      <c r="Z24" s="3">
        <f t="shared" si="42"/>
        <v>28.44261484347264</v>
      </c>
      <c r="AA24" s="3">
        <f t="shared" si="43"/>
        <v>7504.9264719345392</v>
      </c>
      <c r="AB24" s="3"/>
    </row>
    <row r="25" spans="1:28">
      <c r="A25" s="7">
        <f t="shared" si="27"/>
        <v>490</v>
      </c>
      <c r="B25" s="3">
        <f t="shared" si="28"/>
        <v>213.839527</v>
      </c>
      <c r="D25" s="1">
        <f t="shared" si="29"/>
        <v>23</v>
      </c>
      <c r="E25" s="2">
        <v>10</v>
      </c>
      <c r="F25" s="20">
        <v>10</v>
      </c>
      <c r="G25" s="2">
        <f t="shared" si="10"/>
        <v>7.0710678118654746</v>
      </c>
      <c r="H25" s="20">
        <f t="shared" si="0"/>
        <v>-33</v>
      </c>
      <c r="I25" s="2">
        <f t="shared" si="30"/>
        <v>80</v>
      </c>
      <c r="J25" s="20">
        <f t="shared" si="31"/>
        <v>-246.839527</v>
      </c>
      <c r="K25" s="2">
        <f t="shared" si="32"/>
        <v>80</v>
      </c>
      <c r="L25" s="2">
        <f t="shared" si="33"/>
        <v>259.47977202391661</v>
      </c>
      <c r="M25" s="2">
        <f t="shared" si="34"/>
        <v>3.0854940874999999</v>
      </c>
      <c r="N25" s="2">
        <f t="shared" si="16"/>
        <v>72.042635675766661</v>
      </c>
      <c r="P25" s="4">
        <f t="shared" si="35"/>
        <v>0.52712314751197498</v>
      </c>
      <c r="Q25" s="4">
        <f t="shared" si="36"/>
        <v>0.64004983629841417</v>
      </c>
      <c r="R25" s="4">
        <f t="shared" si="37"/>
        <v>2.4666656337258533E-3</v>
      </c>
      <c r="S25" s="4">
        <f t="shared" si="2"/>
        <v>0.61667582932448461</v>
      </c>
      <c r="T25" s="2">
        <f t="shared" si="3"/>
        <v>346.20928200957252</v>
      </c>
      <c r="U25" s="6">
        <f t="shared" si="38"/>
        <v>0.46219125806497768</v>
      </c>
      <c r="V25" s="4">
        <f t="shared" si="39"/>
        <v>0.87681836824378467</v>
      </c>
      <c r="W25" s="4">
        <f t="shared" si="22"/>
        <v>0.99213574594809861</v>
      </c>
      <c r="X25" s="3">
        <f t="shared" si="40"/>
        <v>30.193869883111187</v>
      </c>
      <c r="Y25" s="8">
        <f t="shared" si="41"/>
        <v>9.3090477604792028</v>
      </c>
      <c r="Z25" s="3">
        <f t="shared" si="42"/>
        <v>28.723011825213696</v>
      </c>
      <c r="AA25" s="3">
        <f t="shared" si="43"/>
        <v>7834.6984737894927</v>
      </c>
      <c r="AB25" s="3"/>
    </row>
    <row r="26" spans="1:28">
      <c r="A26" s="7">
        <f t="shared" si="27"/>
        <v>490</v>
      </c>
      <c r="B26" s="3">
        <f t="shared" si="28"/>
        <v>213.839527</v>
      </c>
      <c r="D26" s="1">
        <f t="shared" si="29"/>
        <v>24</v>
      </c>
      <c r="E26" s="2">
        <v>10</v>
      </c>
      <c r="F26" s="20">
        <v>10</v>
      </c>
      <c r="G26" s="2">
        <f t="shared" si="10"/>
        <v>7.0710678118654746</v>
      </c>
      <c r="H26" s="20">
        <f t="shared" si="0"/>
        <v>-43</v>
      </c>
      <c r="I26" s="2">
        <f t="shared" si="30"/>
        <v>80</v>
      </c>
      <c r="J26" s="20">
        <f t="shared" si="31"/>
        <v>-256.83952699999998</v>
      </c>
      <c r="K26" s="2">
        <f t="shared" si="32"/>
        <v>80</v>
      </c>
      <c r="L26" s="2">
        <f t="shared" si="33"/>
        <v>269.01030208819833</v>
      </c>
      <c r="M26" s="2">
        <f t="shared" si="34"/>
        <v>3.2104940874999999</v>
      </c>
      <c r="N26" s="2">
        <f t="shared" si="16"/>
        <v>72.699309503588267</v>
      </c>
      <c r="P26" s="4">
        <f t="shared" si="35"/>
        <v>0.52563585043681882</v>
      </c>
      <c r="Q26" s="4">
        <f t="shared" si="36"/>
        <v>0.63657333798281435</v>
      </c>
      <c r="R26" s="4">
        <f t="shared" si="37"/>
        <v>2.3663530096855027E-3</v>
      </c>
      <c r="S26" s="4">
        <f t="shared" si="2"/>
        <v>0.61667582932448461</v>
      </c>
      <c r="T26" s="2">
        <f t="shared" si="3"/>
        <v>346.20928200957252</v>
      </c>
      <c r="U26" s="6">
        <f t="shared" si="38"/>
        <v>0.47916725448303554</v>
      </c>
      <c r="V26" s="4">
        <f t="shared" si="39"/>
        <v>0.91159545926107111</v>
      </c>
      <c r="W26" s="4">
        <f t="shared" si="22"/>
        <v>0.99521101598030437</v>
      </c>
      <c r="X26" s="3">
        <f t="shared" si="40"/>
        <v>30.340039691190917</v>
      </c>
      <c r="Y26" s="8">
        <f t="shared" si="41"/>
        <v>9.0227145817615693</v>
      </c>
      <c r="Z26" s="3">
        <f t="shared" si="42"/>
        <v>28.967371817945573</v>
      </c>
      <c r="AA26" s="3">
        <f t="shared" si="43"/>
        <v>8161.7832426951963</v>
      </c>
      <c r="AB26" s="3"/>
    </row>
    <row r="27" spans="1:28">
      <c r="A27" s="7">
        <f t="shared" ref="A27:A34" si="44">A26</f>
        <v>490</v>
      </c>
      <c r="B27" s="3">
        <f t="shared" ref="B27:B34" si="45">B26</f>
        <v>213.839527</v>
      </c>
      <c r="D27" s="1">
        <f t="shared" ref="D27:D34" si="46">D26+1</f>
        <v>25</v>
      </c>
      <c r="E27" s="2">
        <v>10</v>
      </c>
      <c r="F27" s="20">
        <v>10</v>
      </c>
      <c r="G27" s="2">
        <f t="shared" si="10"/>
        <v>7.0710678118654746</v>
      </c>
      <c r="H27" s="20">
        <f t="shared" si="0"/>
        <v>-53</v>
      </c>
      <c r="I27" s="2">
        <f t="shared" ref="I27:I34" si="47">I26</f>
        <v>80</v>
      </c>
      <c r="J27" s="20">
        <f t="shared" ref="J27:J34" si="48">H27-B27</f>
        <v>-266.83952699999998</v>
      </c>
      <c r="K27" s="2">
        <f t="shared" ref="K27:K34" si="49">I27</f>
        <v>80</v>
      </c>
      <c r="L27" s="2">
        <f t="shared" ref="L27:L34" si="50">SQRT(J27^2+K27^2)</f>
        <v>278.57374817018155</v>
      </c>
      <c r="M27" s="2">
        <f t="shared" ref="M27:M34" si="51">ABS(J27/K27)</f>
        <v>3.3354940874999999</v>
      </c>
      <c r="N27" s="2">
        <f t="shared" si="16"/>
        <v>73.310971881617363</v>
      </c>
      <c r="P27" s="4">
        <f t="shared" ref="P27:P34" si="52">0.209 * (N27+2)^-0.32 * F27</f>
        <v>0.52426594194120946</v>
      </c>
      <c r="Q27" s="4">
        <f t="shared" ref="Q27:Q34" si="53">MIN(1.087*(N27+6)^-0.65 * F27, 0.17*F27)</f>
        <v>0.63337791699486234</v>
      </c>
      <c r="R27" s="4">
        <f t="shared" ref="R27:R34" si="54">Q27/L27</f>
        <v>2.2736453853071967E-3</v>
      </c>
      <c r="S27" s="4">
        <f t="shared" si="2"/>
        <v>0.61667582932448461</v>
      </c>
      <c r="T27" s="2">
        <f t="shared" si="3"/>
        <v>346.20928200957252</v>
      </c>
      <c r="U27" s="6">
        <f t="shared" ref="U27:U34" si="55">S27*L27/T27</f>
        <v>0.49620188165875612</v>
      </c>
      <c r="V27" s="4">
        <f t="shared" ref="V27:V34" si="56">U27/P27</f>
        <v>0.946469800844701</v>
      </c>
      <c r="W27" s="4">
        <f t="shared" si="22"/>
        <v>0.9976137778035985</v>
      </c>
      <c r="X27" s="3">
        <f t="shared" ref="X27:X34" si="57">0.6*A27*G27*E27*(1+0.5*SIN(N27*PI()/180)^1.5)*W27/1000</f>
        <v>30.460753022908264</v>
      </c>
      <c r="Y27" s="8">
        <f t="shared" ref="Y27:Y34" si="58">X27*COS(N27*PI()/180)</f>
        <v>8.7476305927577158</v>
      </c>
      <c r="Z27" s="3">
        <f t="shared" ref="Z27:Z34" si="59">X27*SIN(N27*PI()/180)</f>
        <v>29.177670121777446</v>
      </c>
      <c r="AA27" s="3">
        <f t="shared" ref="AA27:AA34" si="60">L27*X27</f>
        <v>8485.5661416777439</v>
      </c>
      <c r="AB27" s="3"/>
    </row>
    <row r="28" spans="1:28">
      <c r="A28" s="7">
        <f t="shared" si="44"/>
        <v>490</v>
      </c>
      <c r="B28" s="3">
        <f t="shared" si="45"/>
        <v>213.839527</v>
      </c>
      <c r="D28" s="1">
        <f t="shared" si="46"/>
        <v>26</v>
      </c>
      <c r="E28" s="2">
        <v>10</v>
      </c>
      <c r="F28" s="20">
        <v>10</v>
      </c>
      <c r="G28" s="2">
        <f t="shared" si="10"/>
        <v>7.0710678118654746</v>
      </c>
      <c r="H28" s="20">
        <f t="shared" si="0"/>
        <v>-63</v>
      </c>
      <c r="I28" s="2">
        <f t="shared" si="47"/>
        <v>80</v>
      </c>
      <c r="J28" s="20">
        <f t="shared" si="48"/>
        <v>-276.83952699999998</v>
      </c>
      <c r="K28" s="2">
        <f t="shared" si="49"/>
        <v>80</v>
      </c>
      <c r="L28" s="2">
        <f t="shared" si="50"/>
        <v>288.16683311856644</v>
      </c>
      <c r="M28" s="2">
        <f t="shared" si="51"/>
        <v>3.4604940874999999</v>
      </c>
      <c r="N28" s="2">
        <f t="shared" si="16"/>
        <v>73.881971248780133</v>
      </c>
      <c r="P28" s="4">
        <f t="shared" si="52"/>
        <v>0.52300029364349954</v>
      </c>
      <c r="Q28" s="4">
        <f t="shared" si="53"/>
        <v>0.63043140778728946</v>
      </c>
      <c r="R28" s="4">
        <f t="shared" si="54"/>
        <v>2.1877306314703401E-3</v>
      </c>
      <c r="S28" s="4">
        <f t="shared" si="2"/>
        <v>0.61667582932448461</v>
      </c>
      <c r="T28" s="2">
        <f t="shared" si="3"/>
        <v>346.20928200957252</v>
      </c>
      <c r="U28" s="6">
        <f t="shared" si="55"/>
        <v>0.51328930225587899</v>
      </c>
      <c r="V28" s="4">
        <f t="shared" si="56"/>
        <v>0.98143214926330424</v>
      </c>
      <c r="W28" s="4">
        <f t="shared" si="22"/>
        <v>0.9993493841977541</v>
      </c>
      <c r="X28" s="3">
        <f t="shared" si="57"/>
        <v>30.556697179040214</v>
      </c>
      <c r="Y28" s="8">
        <f t="shared" si="58"/>
        <v>8.4830573590591243</v>
      </c>
      <c r="Z28" s="3">
        <f t="shared" si="59"/>
        <v>29.355569834947456</v>
      </c>
      <c r="AA28" s="3">
        <f t="shared" si="60"/>
        <v>8805.4266566470505</v>
      </c>
      <c r="AB28" s="3"/>
    </row>
    <row r="29" spans="1:28">
      <c r="A29" s="7">
        <f t="shared" si="44"/>
        <v>490</v>
      </c>
      <c r="B29" s="3">
        <f t="shared" si="45"/>
        <v>213.839527</v>
      </c>
      <c r="D29" s="1">
        <f t="shared" si="46"/>
        <v>27</v>
      </c>
      <c r="E29" s="2">
        <v>10</v>
      </c>
      <c r="F29" s="20">
        <v>10</v>
      </c>
      <c r="G29" s="2">
        <f t="shared" si="10"/>
        <v>7.0710678118654746</v>
      </c>
      <c r="H29" s="20">
        <f t="shared" si="0"/>
        <v>-73</v>
      </c>
      <c r="I29" s="2">
        <f t="shared" si="47"/>
        <v>80</v>
      </c>
      <c r="J29" s="20">
        <f t="shared" si="48"/>
        <v>-286.83952699999998</v>
      </c>
      <c r="K29" s="2">
        <f t="shared" si="49"/>
        <v>80</v>
      </c>
      <c r="L29" s="2">
        <f t="shared" si="50"/>
        <v>297.78669253273176</v>
      </c>
      <c r="M29" s="2">
        <f t="shared" si="51"/>
        <v>3.5854940874999999</v>
      </c>
      <c r="N29" s="2">
        <f t="shared" si="16"/>
        <v>74.416129117797226</v>
      </c>
      <c r="P29" s="4">
        <f t="shared" si="52"/>
        <v>0.52182763531027032</v>
      </c>
      <c r="Q29" s="4">
        <f t="shared" si="53"/>
        <v>0.62770629978745962</v>
      </c>
      <c r="R29" s="4">
        <f t="shared" si="54"/>
        <v>2.1079058115347589E-3</v>
      </c>
      <c r="S29" s="4">
        <f t="shared" si="2"/>
        <v>0.61667582932448461</v>
      </c>
      <c r="T29" s="2">
        <f t="shared" si="3"/>
        <v>346.20928200957252</v>
      </c>
      <c r="U29" s="6">
        <f t="shared" si="55"/>
        <v>0.53042441413901831</v>
      </c>
      <c r="V29" s="4">
        <f t="shared" si="56"/>
        <v>1.0164743648036894</v>
      </c>
      <c r="W29" s="4">
        <f t="shared" si="22"/>
        <v>1.000420745106801</v>
      </c>
      <c r="X29" s="3">
        <f t="shared" si="57"/>
        <v>30.628412242526526</v>
      </c>
      <c r="Y29" s="8">
        <f t="shared" si="58"/>
        <v>8.2282823270646865</v>
      </c>
      <c r="Z29" s="3">
        <f t="shared" si="59"/>
        <v>29.502457633971169</v>
      </c>
      <c r="AA29" s="3">
        <f t="shared" si="60"/>
        <v>9120.7335792310041</v>
      </c>
      <c r="AB29" s="3"/>
    </row>
    <row r="30" spans="1:28">
      <c r="A30" s="7">
        <f t="shared" si="44"/>
        <v>490</v>
      </c>
      <c r="B30" s="3">
        <f t="shared" si="45"/>
        <v>213.839527</v>
      </c>
      <c r="D30" s="1">
        <f t="shared" si="46"/>
        <v>28</v>
      </c>
      <c r="E30" s="2">
        <v>10</v>
      </c>
      <c r="F30" s="20">
        <v>10</v>
      </c>
      <c r="G30" s="2">
        <f t="shared" si="10"/>
        <v>7.0710678118654746</v>
      </c>
      <c r="H30" s="20">
        <f t="shared" si="0"/>
        <v>-83</v>
      </c>
      <c r="I30" s="2">
        <f t="shared" si="47"/>
        <v>80</v>
      </c>
      <c r="J30" s="20">
        <f t="shared" si="48"/>
        <v>-296.83952699999998</v>
      </c>
      <c r="K30" s="2">
        <f t="shared" si="49"/>
        <v>80</v>
      </c>
      <c r="L30" s="2">
        <f t="shared" si="50"/>
        <v>307.43081301259269</v>
      </c>
      <c r="M30" s="2">
        <f t="shared" si="51"/>
        <v>3.7104940874999999</v>
      </c>
      <c r="N30" s="2">
        <f t="shared" si="16"/>
        <v>74.916815139802594</v>
      </c>
      <c r="P30" s="4">
        <f t="shared" si="52"/>
        <v>0.52073824160290727</v>
      </c>
      <c r="Q30" s="4">
        <f t="shared" si="53"/>
        <v>0.62517893540607872</v>
      </c>
      <c r="R30" s="4">
        <f t="shared" si="54"/>
        <v>2.0335597765226959E-3</v>
      </c>
      <c r="S30" s="4">
        <f t="shared" si="2"/>
        <v>0.61667582932448461</v>
      </c>
      <c r="T30" s="2">
        <f t="shared" si="3"/>
        <v>346.20928200957252</v>
      </c>
      <c r="U30" s="6">
        <f t="shared" si="55"/>
        <v>0.54760274038290868</v>
      </c>
      <c r="V30" s="4">
        <f t="shared" si="56"/>
        <v>1.0515892566240355</v>
      </c>
      <c r="W30" s="4">
        <f t="shared" si="22"/>
        <v>1.000828285127356</v>
      </c>
      <c r="X30" s="3">
        <f t="shared" si="57"/>
        <v>30.676300827324869</v>
      </c>
      <c r="Y30" s="8">
        <f t="shared" si="58"/>
        <v>7.9826223082117238</v>
      </c>
      <c r="Z30" s="3">
        <f t="shared" si="59"/>
        <v>29.619472877365205</v>
      </c>
      <c r="AA30" s="3">
        <f t="shared" si="60"/>
        <v>9430.8401035633542</v>
      </c>
      <c r="AB30" s="3"/>
    </row>
    <row r="31" spans="1:28">
      <c r="A31" s="7">
        <f t="shared" si="44"/>
        <v>490</v>
      </c>
      <c r="B31" s="3">
        <f t="shared" si="45"/>
        <v>213.839527</v>
      </c>
      <c r="D31" s="1">
        <f t="shared" si="46"/>
        <v>29</v>
      </c>
      <c r="E31" s="2">
        <v>10</v>
      </c>
      <c r="F31" s="20">
        <v>10</v>
      </c>
      <c r="G31" s="2">
        <f t="shared" si="10"/>
        <v>7.0710678118654746</v>
      </c>
      <c r="H31" s="20">
        <f t="shared" si="0"/>
        <v>-93</v>
      </c>
      <c r="I31" s="2">
        <f t="shared" si="47"/>
        <v>80</v>
      </c>
      <c r="J31" s="20">
        <f t="shared" si="48"/>
        <v>-306.83952699999998</v>
      </c>
      <c r="K31" s="2">
        <f t="shared" si="49"/>
        <v>80</v>
      </c>
      <c r="L31" s="2">
        <f t="shared" si="50"/>
        <v>317.09698095312058</v>
      </c>
      <c r="M31" s="2">
        <f t="shared" si="51"/>
        <v>3.8354940874999999</v>
      </c>
      <c r="N31" s="2">
        <f t="shared" si="16"/>
        <v>75.387010125439076</v>
      </c>
      <c r="P31" s="4">
        <f t="shared" si="52"/>
        <v>0.51972367940638697</v>
      </c>
      <c r="Q31" s="4">
        <f t="shared" si="53"/>
        <v>0.62282886650030067</v>
      </c>
      <c r="R31" s="4">
        <f t="shared" si="54"/>
        <v>1.964158929007209E-3</v>
      </c>
      <c r="S31" s="4">
        <f t="shared" si="2"/>
        <v>0.61667582932448461</v>
      </c>
      <c r="T31" s="2">
        <f t="shared" si="3"/>
        <v>346.20928200957252</v>
      </c>
      <c r="U31" s="6">
        <f t="shared" si="55"/>
        <v>0.56482033806404186</v>
      </c>
      <c r="V31" s="4">
        <f t="shared" si="56"/>
        <v>1.0867704521548123</v>
      </c>
      <c r="W31" s="4">
        <f t="shared" si="22"/>
        <v>1.0005698745164213</v>
      </c>
      <c r="X31" s="3">
        <f t="shared" si="57"/>
        <v>30.700635122180447</v>
      </c>
      <c r="Y31" s="8">
        <f t="shared" si="58"/>
        <v>7.7454247668713547</v>
      </c>
      <c r="Z31" s="3">
        <f t="shared" si="59"/>
        <v>29.707530898511163</v>
      </c>
      <c r="AA31" s="3">
        <f t="shared" si="60"/>
        <v>9735.0787105867585</v>
      </c>
      <c r="AB31" s="3"/>
    </row>
    <row r="32" spans="1:28">
      <c r="A32" s="7">
        <f t="shared" si="44"/>
        <v>490</v>
      </c>
      <c r="B32" s="3">
        <f t="shared" si="45"/>
        <v>213.839527</v>
      </c>
      <c r="D32" s="1">
        <f t="shared" si="46"/>
        <v>30</v>
      </c>
      <c r="E32" s="2">
        <v>10</v>
      </c>
      <c r="F32" s="20">
        <v>10</v>
      </c>
      <c r="G32" s="2">
        <f t="shared" si="10"/>
        <v>7.0710678118654746</v>
      </c>
      <c r="H32" s="20">
        <f t="shared" si="0"/>
        <v>-103</v>
      </c>
      <c r="I32" s="2">
        <f t="shared" si="47"/>
        <v>80</v>
      </c>
      <c r="J32" s="20">
        <f t="shared" si="48"/>
        <v>-316.83952699999998</v>
      </c>
      <c r="K32" s="2">
        <f t="shared" si="49"/>
        <v>80</v>
      </c>
      <c r="L32" s="2">
        <f t="shared" si="50"/>
        <v>326.78323988476478</v>
      </c>
      <c r="M32" s="2">
        <f t="shared" si="51"/>
        <v>3.9604940874999999</v>
      </c>
      <c r="N32" s="2">
        <f t="shared" si="16"/>
        <v>75.829359128017671</v>
      </c>
      <c r="P32" s="4">
        <f t="shared" si="52"/>
        <v>0.51877660263612579</v>
      </c>
      <c r="Q32" s="4">
        <f t="shared" si="53"/>
        <v>0.62063833428487247</v>
      </c>
      <c r="R32" s="4">
        <f t="shared" si="54"/>
        <v>1.8992355131301449E-3</v>
      </c>
      <c r="S32" s="4">
        <f t="shared" si="2"/>
        <v>0.61667582932448461</v>
      </c>
      <c r="T32" s="2">
        <f t="shared" si="3"/>
        <v>346.20928200957252</v>
      </c>
      <c r="U32" s="6">
        <f t="shared" si="55"/>
        <v>0.58207372227445764</v>
      </c>
      <c r="V32" s="4">
        <f t="shared" si="56"/>
        <v>1.1220122868238316</v>
      </c>
      <c r="W32" s="4">
        <f t="shared" si="22"/>
        <v>0.99964072854340191</v>
      </c>
      <c r="X32" s="3">
        <f t="shared" si="57"/>
        <v>30.701561407577788</v>
      </c>
      <c r="Y32" s="8">
        <f t="shared" si="58"/>
        <v>7.5160675727198827</v>
      </c>
      <c r="Z32" s="3">
        <f t="shared" si="59"/>
        <v>29.76734118300757</v>
      </c>
      <c r="AA32" s="3">
        <f t="shared" si="60"/>
        <v>10032.755706289328</v>
      </c>
      <c r="AB32" s="3"/>
    </row>
    <row r="33" spans="1:28">
      <c r="A33" s="7">
        <f t="shared" si="44"/>
        <v>490</v>
      </c>
      <c r="B33" s="3">
        <f t="shared" si="45"/>
        <v>213.839527</v>
      </c>
      <c r="D33" s="1">
        <f t="shared" si="46"/>
        <v>31</v>
      </c>
      <c r="E33" s="2">
        <v>10</v>
      </c>
      <c r="F33" s="20">
        <v>10</v>
      </c>
      <c r="G33" s="2">
        <f t="shared" si="10"/>
        <v>7.0710678118654746</v>
      </c>
      <c r="H33" s="20">
        <f t="shared" si="0"/>
        <v>-113</v>
      </c>
      <c r="I33" s="2">
        <f t="shared" si="47"/>
        <v>80</v>
      </c>
      <c r="J33" s="20">
        <f t="shared" si="48"/>
        <v>-326.83952699999998</v>
      </c>
      <c r="K33" s="2">
        <f t="shared" si="49"/>
        <v>80</v>
      </c>
      <c r="L33" s="2">
        <f t="shared" si="50"/>
        <v>336.48785477277437</v>
      </c>
      <c r="M33" s="2">
        <f t="shared" si="51"/>
        <v>4.0854940874999999</v>
      </c>
      <c r="N33" s="2">
        <f t="shared" si="16"/>
        <v>76.246216305115766</v>
      </c>
      <c r="P33" s="4">
        <f t="shared" si="52"/>
        <v>0.51789058453187053</v>
      </c>
      <c r="Q33" s="4">
        <f t="shared" si="53"/>
        <v>0.61859184617741969</v>
      </c>
      <c r="R33" s="4">
        <f t="shared" si="54"/>
        <v>1.8383779307432843E-3</v>
      </c>
      <c r="S33" s="4">
        <f t="shared" si="2"/>
        <v>0.61667582932448461</v>
      </c>
      <c r="T33" s="2">
        <f t="shared" si="3"/>
        <v>346.20928200957252</v>
      </c>
      <c r="U33" s="6">
        <f t="shared" si="55"/>
        <v>0.5993598025308865</v>
      </c>
      <c r="V33" s="4">
        <f t="shared" si="56"/>
        <v>1.1573097106460379</v>
      </c>
      <c r="W33" s="4">
        <f t="shared" si="22"/>
        <v>0.998033269395325</v>
      </c>
      <c r="X33" s="3">
        <f t="shared" si="57"/>
        <v>30.679102142741492</v>
      </c>
      <c r="Y33" s="8">
        <f t="shared" si="58"/>
        <v>7.2939576766498524</v>
      </c>
      <c r="Z33" s="3">
        <f t="shared" si="59"/>
        <v>29.799420962428215</v>
      </c>
      <c r="AA33" s="3">
        <f t="shared" si="60"/>
        <v>10323.145266365909</v>
      </c>
      <c r="AB33" s="3"/>
    </row>
    <row r="34" spans="1:28">
      <c r="A34" s="7">
        <f t="shared" si="44"/>
        <v>490</v>
      </c>
      <c r="B34" s="3">
        <f t="shared" si="45"/>
        <v>213.839527</v>
      </c>
      <c r="D34" s="1">
        <f t="shared" si="46"/>
        <v>32</v>
      </c>
      <c r="E34" s="2">
        <v>10</v>
      </c>
      <c r="F34" s="20">
        <v>10</v>
      </c>
      <c r="G34" s="2">
        <f t="shared" si="10"/>
        <v>7.0710678118654746</v>
      </c>
      <c r="H34" s="20">
        <f t="shared" si="0"/>
        <v>-123</v>
      </c>
      <c r="I34" s="2">
        <f t="shared" si="47"/>
        <v>80</v>
      </c>
      <c r="J34" s="20">
        <f t="shared" si="48"/>
        <v>-336.83952699999998</v>
      </c>
      <c r="K34" s="2">
        <f t="shared" si="49"/>
        <v>80</v>
      </c>
      <c r="L34" s="2">
        <f t="shared" si="50"/>
        <v>346.20928200957252</v>
      </c>
      <c r="M34" s="2">
        <f t="shared" si="51"/>
        <v>4.2104940874999999</v>
      </c>
      <c r="N34" s="2">
        <f t="shared" si="16"/>
        <v>76.639682959234449</v>
      </c>
      <c r="P34" s="4">
        <f t="shared" si="52"/>
        <v>0.51705997975937823</v>
      </c>
      <c r="Q34" s="4">
        <f t="shared" si="53"/>
        <v>0.61667582932448461</v>
      </c>
      <c r="R34" s="4">
        <f t="shared" si="54"/>
        <v>1.7812226920808953E-3</v>
      </c>
      <c r="S34" s="4">
        <f t="shared" si="2"/>
        <v>0.61667582932448461</v>
      </c>
      <c r="T34" s="2">
        <f t="shared" si="3"/>
        <v>346.20928200957252</v>
      </c>
      <c r="U34" s="6">
        <f t="shared" si="55"/>
        <v>0.61667582932448461</v>
      </c>
      <c r="V34" s="4">
        <f t="shared" si="56"/>
        <v>1.1926582088435158</v>
      </c>
      <c r="W34" s="4">
        <f t="shared" si="22"/>
        <v>0.99573694376614041</v>
      </c>
      <c r="X34" s="3">
        <f t="shared" si="57"/>
        <v>30.633155634735822</v>
      </c>
      <c r="Y34" s="8">
        <f t="shared" si="58"/>
        <v>7.0785290231216438</v>
      </c>
      <c r="Z34" s="3">
        <f t="shared" si="59"/>
        <v>29.804104600050838</v>
      </c>
      <c r="AA34" s="3">
        <f t="shared" si="60"/>
        <v>10605.482817989379</v>
      </c>
      <c r="AB34" s="3"/>
    </row>
    <row r="35" spans="1:28">
      <c r="A35" s="7"/>
      <c r="B35" s="3"/>
      <c r="D35" s="1"/>
      <c r="E35" s="2"/>
      <c r="F35" s="2"/>
      <c r="G35" s="2"/>
      <c r="H35" s="20"/>
      <c r="I35" s="2"/>
      <c r="J35" s="20"/>
      <c r="K35" s="2"/>
      <c r="L35" s="2"/>
      <c r="M35" s="2"/>
      <c r="N35" s="2"/>
      <c r="P35" s="4"/>
      <c r="Q35" s="4"/>
      <c r="R35" s="4"/>
      <c r="S35" s="4"/>
      <c r="T35" s="2"/>
      <c r="U35" s="6"/>
      <c r="V35" s="4"/>
      <c r="W35" s="4"/>
      <c r="X35" s="3"/>
      <c r="Y35" s="8"/>
      <c r="Z35" s="3"/>
      <c r="AA35" s="3"/>
      <c r="AB35" s="3"/>
    </row>
    <row r="36" spans="1:28" hidden="1">
      <c r="A36" s="7"/>
      <c r="B36" s="3"/>
      <c r="D36" s="1"/>
      <c r="E36" s="2"/>
      <c r="F36" s="2"/>
      <c r="G36" s="2"/>
      <c r="H36" s="20"/>
      <c r="I36" s="2"/>
      <c r="J36" s="20"/>
      <c r="K36" s="2"/>
      <c r="L36" s="2"/>
      <c r="M36" s="2"/>
      <c r="N36" s="2"/>
      <c r="P36" s="4"/>
      <c r="Q36" s="4"/>
      <c r="R36" s="4"/>
      <c r="S36" s="4"/>
      <c r="T36" s="2"/>
      <c r="U36" s="6"/>
      <c r="V36" s="4"/>
      <c r="W36" s="4"/>
      <c r="X36" s="3"/>
      <c r="Y36" s="8"/>
      <c r="Z36" s="3"/>
      <c r="AA36" s="3"/>
      <c r="AB36" s="3"/>
    </row>
    <row r="37" spans="1:28" hidden="1">
      <c r="A37" s="7"/>
      <c r="B37" s="3"/>
      <c r="D37" s="1"/>
      <c r="E37" s="2"/>
      <c r="F37" s="2"/>
      <c r="G37" s="2"/>
      <c r="H37" s="20"/>
      <c r="I37" s="2"/>
      <c r="J37" s="20"/>
      <c r="K37" s="2"/>
      <c r="L37" s="2"/>
      <c r="M37" s="2"/>
      <c r="N37" s="2"/>
      <c r="P37" s="4"/>
      <c r="Q37" s="4"/>
      <c r="R37" s="4"/>
      <c r="S37" s="4"/>
      <c r="T37" s="2"/>
      <c r="U37" s="6"/>
      <c r="V37" s="4"/>
      <c r="W37" s="4"/>
      <c r="X37" s="3"/>
      <c r="Y37" s="8"/>
      <c r="Z37" s="3"/>
      <c r="AA37" s="3"/>
      <c r="AB37" s="3"/>
    </row>
    <row r="38" spans="1:28" hidden="1">
      <c r="A38" s="7"/>
      <c r="B38" s="3"/>
      <c r="D38" s="1"/>
      <c r="E38" s="2"/>
      <c r="F38" s="2"/>
      <c r="G38" s="2"/>
      <c r="H38" s="20"/>
      <c r="I38" s="2"/>
      <c r="J38" s="20"/>
      <c r="K38" s="2"/>
      <c r="L38" s="2"/>
      <c r="M38" s="2"/>
      <c r="N38" s="2"/>
      <c r="P38" s="4"/>
      <c r="Q38" s="4"/>
      <c r="R38" s="4"/>
      <c r="S38" s="4"/>
      <c r="T38" s="2"/>
      <c r="U38" s="6"/>
      <c r="V38" s="4"/>
      <c r="W38" s="4"/>
      <c r="X38" s="3"/>
      <c r="Y38" s="8"/>
      <c r="Z38" s="3"/>
      <c r="AA38" s="3"/>
      <c r="AB38" s="3"/>
    </row>
    <row r="39" spans="1:28" hidden="1">
      <c r="A39" s="7"/>
      <c r="B39" s="3"/>
      <c r="D39" s="1"/>
      <c r="E39" s="2"/>
      <c r="F39" s="2"/>
      <c r="G39" s="2"/>
      <c r="H39" s="20"/>
      <c r="I39" s="2"/>
      <c r="J39" s="20"/>
      <c r="K39" s="2"/>
      <c r="L39" s="2"/>
      <c r="M39" s="2"/>
      <c r="N39" s="2"/>
      <c r="P39" s="4"/>
      <c r="Q39" s="4"/>
      <c r="R39" s="4"/>
      <c r="S39" s="4"/>
      <c r="T39" s="2"/>
      <c r="U39" s="6"/>
      <c r="V39" s="4"/>
      <c r="W39" s="4"/>
      <c r="X39" s="3"/>
      <c r="Y39" s="8"/>
      <c r="Z39" s="3"/>
      <c r="AA39" s="3"/>
      <c r="AB39" s="3"/>
    </row>
    <row r="40" spans="1:28" hidden="1">
      <c r="A40" s="7"/>
      <c r="B40" s="3"/>
      <c r="D40" s="1"/>
      <c r="E40" s="2"/>
      <c r="F40" s="2"/>
      <c r="G40" s="2"/>
      <c r="H40" s="20"/>
      <c r="I40" s="2"/>
      <c r="J40" s="20"/>
      <c r="K40" s="2"/>
      <c r="L40" s="2"/>
      <c r="M40" s="2"/>
      <c r="N40" s="2"/>
      <c r="P40" s="4"/>
      <c r="Q40" s="4"/>
      <c r="R40" s="4"/>
      <c r="S40" s="4"/>
      <c r="T40" s="2"/>
      <c r="U40" s="6"/>
      <c r="V40" s="4"/>
      <c r="W40" s="4"/>
      <c r="X40" s="3"/>
      <c r="Y40" s="8"/>
      <c r="Z40" s="3"/>
      <c r="AA40" s="3"/>
      <c r="AB40" s="3"/>
    </row>
    <row r="41" spans="1:28" hidden="1">
      <c r="A41" s="7"/>
      <c r="B41" s="3"/>
      <c r="D41" s="1"/>
      <c r="E41" s="2"/>
      <c r="F41" s="2"/>
      <c r="G41" s="2"/>
      <c r="H41" s="20"/>
      <c r="I41" s="2"/>
      <c r="J41" s="20"/>
      <c r="K41" s="2"/>
      <c r="L41" s="2"/>
      <c r="M41" s="2"/>
      <c r="N41" s="2"/>
      <c r="P41" s="4"/>
      <c r="Q41" s="4"/>
      <c r="R41" s="4"/>
      <c r="S41" s="4"/>
      <c r="T41" s="2"/>
      <c r="U41" s="6"/>
      <c r="V41" s="4"/>
      <c r="W41" s="4"/>
      <c r="X41" s="3"/>
      <c r="Y41" s="8"/>
      <c r="Z41" s="3"/>
      <c r="AA41" s="3"/>
      <c r="AB41" s="3"/>
    </row>
    <row r="42" spans="1:28" hidden="1">
      <c r="A42" s="7"/>
      <c r="B42" s="3"/>
      <c r="D42" s="1"/>
      <c r="E42" s="2"/>
      <c r="F42" s="2"/>
      <c r="G42" s="2"/>
      <c r="H42" s="20"/>
      <c r="I42" s="2"/>
      <c r="J42" s="20"/>
      <c r="K42" s="2"/>
      <c r="L42" s="2"/>
      <c r="M42" s="2"/>
      <c r="N42" s="2"/>
      <c r="P42" s="4"/>
      <c r="Q42" s="4"/>
      <c r="R42" s="4"/>
      <c r="S42" s="4"/>
      <c r="T42" s="2"/>
      <c r="U42" s="6"/>
      <c r="V42" s="4"/>
      <c r="W42" s="4"/>
      <c r="X42" s="3"/>
      <c r="Y42" s="8"/>
      <c r="Z42" s="3"/>
      <c r="AA42" s="3"/>
      <c r="AB42" s="3"/>
    </row>
    <row r="43" spans="1:28" hidden="1">
      <c r="A43" s="7"/>
      <c r="B43" s="3"/>
      <c r="D43" s="1"/>
      <c r="E43" s="2"/>
      <c r="F43" s="2"/>
      <c r="G43" s="2"/>
      <c r="H43" s="20"/>
      <c r="I43" s="2"/>
      <c r="J43" s="20"/>
      <c r="K43" s="2"/>
      <c r="L43" s="2"/>
      <c r="M43" s="2"/>
      <c r="N43" s="2"/>
      <c r="P43" s="4"/>
      <c r="Q43" s="4"/>
      <c r="R43" s="4"/>
      <c r="S43" s="4"/>
      <c r="T43" s="2"/>
      <c r="U43" s="6"/>
      <c r="V43" s="4"/>
      <c r="W43" s="4"/>
      <c r="X43" s="3"/>
      <c r="Y43" s="8"/>
      <c r="Z43" s="3"/>
      <c r="AA43" s="3"/>
      <c r="AB43" s="3"/>
    </row>
    <row r="44" spans="1:28" hidden="1">
      <c r="A44" s="7"/>
      <c r="B44" s="3"/>
      <c r="D44" s="1"/>
      <c r="E44" s="2"/>
      <c r="F44" s="2"/>
      <c r="G44" s="2"/>
      <c r="H44" s="20"/>
      <c r="I44" s="2"/>
      <c r="J44" s="20"/>
      <c r="K44" s="2"/>
      <c r="L44" s="2"/>
      <c r="M44" s="2"/>
      <c r="N44" s="2"/>
      <c r="P44" s="4"/>
      <c r="Q44" s="4"/>
      <c r="R44" s="4"/>
      <c r="S44" s="4"/>
      <c r="T44" s="2"/>
      <c r="U44" s="6"/>
      <c r="V44" s="4"/>
      <c r="W44" s="4"/>
      <c r="X44" s="3"/>
      <c r="Y44" s="8"/>
      <c r="Z44" s="3"/>
      <c r="AA44" s="3"/>
      <c r="AB44" s="3"/>
    </row>
    <row r="45" spans="1:28" hidden="1">
      <c r="A45" s="7"/>
      <c r="B45" s="3"/>
      <c r="D45" s="1"/>
      <c r="E45" s="2"/>
      <c r="F45" s="2"/>
      <c r="G45" s="2"/>
      <c r="H45" s="20"/>
      <c r="I45" s="2"/>
      <c r="J45" s="20"/>
      <c r="K45" s="2"/>
      <c r="L45" s="2"/>
      <c r="M45" s="2"/>
      <c r="N45" s="2"/>
      <c r="P45" s="4"/>
      <c r="Q45" s="4"/>
      <c r="R45" s="4"/>
      <c r="S45" s="4"/>
      <c r="T45" s="2"/>
      <c r="U45" s="6"/>
      <c r="V45" s="4"/>
      <c r="W45" s="4"/>
      <c r="X45" s="3"/>
      <c r="Y45" s="8"/>
      <c r="Z45" s="3"/>
      <c r="AA45" s="3"/>
      <c r="AB45" s="3"/>
    </row>
    <row r="46" spans="1:28" hidden="1">
      <c r="A46" s="7"/>
      <c r="B46" s="3"/>
      <c r="D46" s="1"/>
      <c r="E46" s="2"/>
      <c r="F46" s="2"/>
      <c r="G46" s="2"/>
      <c r="H46" s="20"/>
      <c r="I46" s="2"/>
      <c r="J46" s="20"/>
      <c r="K46" s="2"/>
      <c r="L46" s="2"/>
      <c r="M46" s="2"/>
      <c r="N46" s="2"/>
      <c r="P46" s="4"/>
      <c r="Q46" s="4"/>
      <c r="R46" s="4"/>
      <c r="S46" s="4"/>
      <c r="T46" s="2"/>
      <c r="U46" s="6"/>
      <c r="V46" s="4"/>
      <c r="W46" s="4"/>
      <c r="X46" s="3"/>
      <c r="Y46" s="8"/>
      <c r="Z46" s="3"/>
      <c r="AA46" s="3"/>
      <c r="AB46" s="3"/>
    </row>
    <row r="47" spans="1:28" hidden="1">
      <c r="A47" s="7"/>
      <c r="B47" s="3"/>
      <c r="D47" s="1"/>
      <c r="E47" s="2"/>
      <c r="F47" s="2"/>
      <c r="G47" s="2"/>
      <c r="H47" s="20"/>
      <c r="I47" s="2"/>
      <c r="J47" s="20"/>
      <c r="K47" s="2"/>
      <c r="L47" s="2"/>
      <c r="M47" s="2"/>
      <c r="N47" s="2"/>
      <c r="P47" s="4"/>
      <c r="Q47" s="4"/>
      <c r="R47" s="4"/>
      <c r="S47" s="4"/>
      <c r="T47" s="2"/>
      <c r="U47" s="6"/>
      <c r="V47" s="4"/>
      <c r="W47" s="4"/>
      <c r="X47" s="3"/>
      <c r="Y47" s="8"/>
      <c r="Z47" s="3"/>
      <c r="AA47" s="3"/>
      <c r="AB47" s="3"/>
    </row>
    <row r="48" spans="1:28" hidden="1">
      <c r="A48" s="7"/>
      <c r="B48" s="3"/>
      <c r="D48" s="1"/>
      <c r="E48" s="2"/>
      <c r="F48" s="2"/>
      <c r="G48" s="2"/>
      <c r="H48" s="20"/>
      <c r="I48" s="2"/>
      <c r="J48" s="20"/>
      <c r="K48" s="2"/>
      <c r="L48" s="2"/>
      <c r="M48" s="2"/>
      <c r="N48" s="2"/>
      <c r="P48" s="4"/>
      <c r="Q48" s="4"/>
      <c r="R48" s="4"/>
      <c r="S48" s="4"/>
      <c r="T48" s="2"/>
      <c r="U48" s="6"/>
      <c r="V48" s="4"/>
      <c r="W48" s="4"/>
      <c r="X48" s="3"/>
      <c r="Y48" s="8"/>
      <c r="Z48" s="3"/>
      <c r="AA48" s="3"/>
      <c r="AB48" s="3"/>
    </row>
    <row r="49" spans="1:28" hidden="1">
      <c r="A49" s="7"/>
      <c r="B49" s="3"/>
      <c r="D49" s="1"/>
      <c r="E49" s="2"/>
      <c r="F49" s="2"/>
      <c r="G49" s="2"/>
      <c r="H49" s="20"/>
      <c r="I49" s="2"/>
      <c r="J49" s="20"/>
      <c r="K49" s="2"/>
      <c r="L49" s="2"/>
      <c r="M49" s="2"/>
      <c r="N49" s="2"/>
      <c r="P49" s="4"/>
      <c r="Q49" s="4"/>
      <c r="R49" s="4"/>
      <c r="S49" s="4"/>
      <c r="T49" s="2"/>
      <c r="U49" s="6"/>
      <c r="V49" s="4"/>
      <c r="W49" s="4"/>
      <c r="X49" s="3"/>
      <c r="Y49" s="8"/>
      <c r="Z49" s="3"/>
      <c r="AA49" s="3"/>
      <c r="AB49" s="3"/>
    </row>
    <row r="50" spans="1:28" hidden="1">
      <c r="A50" s="7"/>
      <c r="B50" s="3"/>
      <c r="D50" s="1"/>
      <c r="E50" s="2"/>
      <c r="F50" s="2"/>
      <c r="G50" s="2"/>
      <c r="H50" s="20"/>
      <c r="I50" s="2"/>
      <c r="J50" s="20"/>
      <c r="K50" s="2"/>
      <c r="L50" s="2"/>
      <c r="M50" s="2"/>
      <c r="N50" s="2"/>
      <c r="P50" s="4"/>
      <c r="Q50" s="4"/>
      <c r="R50" s="4"/>
      <c r="S50" s="4"/>
      <c r="T50" s="2"/>
      <c r="U50" s="6"/>
      <c r="V50" s="4"/>
      <c r="W50" s="4"/>
      <c r="X50" s="3"/>
      <c r="Y50" s="8"/>
      <c r="Z50" s="3"/>
      <c r="AA50" s="3"/>
      <c r="AB50" s="3"/>
    </row>
    <row r="51" spans="1:28" hidden="1">
      <c r="A51" s="7"/>
      <c r="B51" s="3"/>
      <c r="D51" s="1"/>
      <c r="E51" s="2"/>
      <c r="F51" s="2"/>
      <c r="G51" s="2"/>
      <c r="H51" s="20"/>
      <c r="I51" s="2"/>
      <c r="J51" s="20"/>
      <c r="K51" s="2"/>
      <c r="L51" s="2"/>
      <c r="M51" s="2"/>
      <c r="N51" s="2"/>
      <c r="P51" s="4"/>
      <c r="Q51" s="4"/>
      <c r="R51" s="4"/>
      <c r="S51" s="4"/>
      <c r="T51" s="2"/>
      <c r="U51" s="6"/>
      <c r="V51" s="4"/>
      <c r="W51" s="4"/>
      <c r="X51" s="3"/>
      <c r="Y51" s="8"/>
      <c r="Z51" s="3"/>
      <c r="AA51" s="3"/>
      <c r="AB51" s="3"/>
    </row>
    <row r="52" spans="1:28" hidden="1">
      <c r="A52" s="7"/>
      <c r="B52" s="3"/>
      <c r="D52" s="1"/>
      <c r="E52" s="2"/>
      <c r="F52" s="2"/>
      <c r="G52" s="2"/>
      <c r="H52" s="20"/>
      <c r="I52" s="2"/>
      <c r="J52" s="20"/>
      <c r="K52" s="2"/>
      <c r="L52" s="2"/>
      <c r="M52" s="2"/>
      <c r="N52" s="2"/>
      <c r="P52" s="4"/>
      <c r="Q52" s="4"/>
      <c r="R52" s="4"/>
      <c r="S52" s="4"/>
      <c r="T52" s="2"/>
      <c r="U52" s="6"/>
      <c r="V52" s="4"/>
      <c r="W52" s="4"/>
      <c r="X52" s="3"/>
      <c r="Y52" s="8"/>
      <c r="Z52" s="3"/>
      <c r="AA52" s="3"/>
      <c r="AB52" s="3"/>
    </row>
    <row r="53" spans="1:28" hidden="1">
      <c r="A53" s="7"/>
      <c r="B53" s="3"/>
      <c r="D53" s="1"/>
      <c r="E53" s="2"/>
      <c r="F53" s="2"/>
      <c r="G53" s="2"/>
      <c r="H53" s="20"/>
      <c r="I53" s="2"/>
      <c r="J53" s="20"/>
      <c r="K53" s="2"/>
      <c r="L53" s="2"/>
      <c r="M53" s="2"/>
      <c r="N53" s="2"/>
      <c r="P53" s="4"/>
      <c r="Q53" s="4"/>
      <c r="R53" s="4"/>
      <c r="S53" s="4"/>
      <c r="T53" s="2"/>
      <c r="U53" s="6"/>
      <c r="V53" s="4"/>
      <c r="W53" s="4"/>
      <c r="X53" s="3"/>
      <c r="Y53" s="8"/>
      <c r="Z53" s="3"/>
      <c r="AA53" s="3"/>
      <c r="AB53" s="3"/>
    </row>
    <row r="54" spans="1:28" hidden="1">
      <c r="A54" s="7"/>
      <c r="B54" s="3"/>
      <c r="D54" s="1"/>
      <c r="E54" s="2"/>
      <c r="F54" s="2"/>
      <c r="G54" s="2"/>
      <c r="H54" s="20"/>
      <c r="I54" s="2"/>
      <c r="J54" s="20"/>
      <c r="K54" s="2"/>
      <c r="L54" s="2"/>
      <c r="M54" s="2"/>
      <c r="N54" s="2"/>
      <c r="P54" s="4"/>
      <c r="Q54" s="4"/>
      <c r="R54" s="4"/>
      <c r="S54" s="4"/>
      <c r="T54" s="2"/>
      <c r="U54" s="6"/>
      <c r="V54" s="4"/>
      <c r="W54" s="4"/>
      <c r="X54" s="3"/>
      <c r="Y54" s="8"/>
      <c r="Z54" s="3"/>
      <c r="AA54" s="3"/>
      <c r="AB54" s="3"/>
    </row>
    <row r="55" spans="1:28" hidden="1">
      <c r="A55" s="7"/>
      <c r="B55" s="3"/>
      <c r="D55" s="1"/>
      <c r="E55" s="2"/>
      <c r="F55" s="2"/>
      <c r="G55" s="2"/>
      <c r="H55" s="20"/>
      <c r="I55" s="2"/>
      <c r="J55" s="20"/>
      <c r="K55" s="2"/>
      <c r="L55" s="2"/>
      <c r="M55" s="2"/>
      <c r="N55" s="2"/>
      <c r="P55" s="4"/>
      <c r="Q55" s="4"/>
      <c r="R55" s="4"/>
      <c r="S55" s="4"/>
      <c r="T55" s="2"/>
      <c r="U55" s="6"/>
      <c r="V55" s="4"/>
      <c r="W55" s="4"/>
      <c r="X55" s="3"/>
      <c r="Y55" s="8"/>
      <c r="Z55" s="3"/>
      <c r="AA55" s="3"/>
      <c r="AB55" s="3"/>
    </row>
    <row r="56" spans="1:28" hidden="1">
      <c r="A56" s="7"/>
      <c r="B56" s="3"/>
      <c r="D56" s="1"/>
      <c r="E56" s="2"/>
      <c r="F56" s="2"/>
      <c r="G56" s="2"/>
      <c r="H56" s="20"/>
      <c r="I56" s="2"/>
      <c r="J56" s="20"/>
      <c r="K56" s="2"/>
      <c r="L56" s="2"/>
      <c r="M56" s="2"/>
      <c r="N56" s="2"/>
      <c r="P56" s="4"/>
      <c r="Q56" s="4"/>
      <c r="R56" s="4"/>
      <c r="S56" s="4"/>
      <c r="T56" s="2"/>
      <c r="U56" s="6"/>
      <c r="V56" s="4"/>
      <c r="W56" s="4"/>
      <c r="X56" s="3"/>
      <c r="Y56" s="8"/>
      <c r="Z56" s="3"/>
      <c r="AA56" s="3"/>
      <c r="AB56" s="3"/>
    </row>
    <row r="57" spans="1:28" hidden="1">
      <c r="A57" s="7"/>
      <c r="B57" s="3"/>
      <c r="D57" s="1"/>
      <c r="E57" s="2"/>
      <c r="F57" s="2"/>
      <c r="G57" s="2"/>
      <c r="H57" s="20"/>
      <c r="I57" s="2"/>
      <c r="J57" s="20"/>
      <c r="K57" s="2"/>
      <c r="L57" s="2"/>
      <c r="M57" s="2"/>
      <c r="N57" s="2"/>
      <c r="P57" s="4"/>
      <c r="Q57" s="4"/>
      <c r="R57" s="4"/>
      <c r="S57" s="4"/>
      <c r="T57" s="2"/>
      <c r="U57" s="6"/>
      <c r="V57" s="4"/>
      <c r="W57" s="4"/>
      <c r="X57" s="3"/>
      <c r="Y57" s="8"/>
      <c r="Z57" s="3"/>
      <c r="AA57" s="3"/>
      <c r="AB57" s="3"/>
    </row>
    <row r="58" spans="1:28" hidden="1">
      <c r="A58" s="7"/>
      <c r="B58" s="3"/>
      <c r="D58" s="1"/>
      <c r="E58" s="2"/>
      <c r="F58" s="2"/>
      <c r="G58" s="2"/>
      <c r="H58" s="20"/>
      <c r="I58" s="2"/>
      <c r="J58" s="20"/>
      <c r="K58" s="2"/>
      <c r="L58" s="2"/>
      <c r="M58" s="2"/>
      <c r="N58" s="2"/>
      <c r="P58" s="4"/>
      <c r="Q58" s="4"/>
      <c r="R58" s="4"/>
      <c r="S58" s="4"/>
      <c r="T58" s="2"/>
      <c r="U58" s="6"/>
      <c r="V58" s="4"/>
      <c r="W58" s="4"/>
      <c r="X58" s="3"/>
      <c r="Y58" s="8"/>
      <c r="Z58" s="3"/>
      <c r="AA58" s="3"/>
      <c r="AB58" s="3"/>
    </row>
    <row r="59" spans="1:28" hidden="1">
      <c r="A59" s="7"/>
      <c r="B59" s="3"/>
      <c r="D59" s="1"/>
      <c r="E59" s="2"/>
      <c r="F59" s="2"/>
      <c r="G59" s="2"/>
      <c r="H59" s="20"/>
      <c r="I59" s="2"/>
      <c r="J59" s="20"/>
      <c r="K59" s="2"/>
      <c r="L59" s="2"/>
      <c r="M59" s="2"/>
      <c r="N59" s="2"/>
      <c r="P59" s="4"/>
      <c r="Q59" s="4"/>
      <c r="R59" s="4"/>
      <c r="S59" s="4"/>
      <c r="T59" s="2"/>
      <c r="U59" s="6"/>
      <c r="V59" s="4"/>
      <c r="W59" s="4"/>
      <c r="X59" s="3"/>
      <c r="Y59" s="8"/>
      <c r="Z59" s="3"/>
      <c r="AA59" s="3"/>
      <c r="AB59" s="3"/>
    </row>
    <row r="60" spans="1:28" hidden="1">
      <c r="A60" s="7"/>
      <c r="B60" s="3"/>
      <c r="D60" s="1"/>
      <c r="E60" s="2"/>
      <c r="F60" s="2"/>
      <c r="G60" s="2"/>
      <c r="H60" s="20"/>
      <c r="I60" s="2"/>
      <c r="J60" s="20"/>
      <c r="K60" s="2"/>
      <c r="L60" s="2"/>
      <c r="M60" s="2"/>
      <c r="N60" s="2"/>
      <c r="P60" s="4"/>
      <c r="Q60" s="4"/>
      <c r="R60" s="4"/>
      <c r="S60" s="4"/>
      <c r="T60" s="2"/>
      <c r="U60" s="6"/>
      <c r="V60" s="4"/>
      <c r="W60" s="4"/>
      <c r="X60" s="3"/>
      <c r="Y60" s="8"/>
      <c r="Z60" s="3"/>
      <c r="AA60" s="3"/>
      <c r="AB60" s="3"/>
    </row>
    <row r="61" spans="1:28" hidden="1">
      <c r="A61" s="7"/>
      <c r="B61" s="3"/>
      <c r="D61" s="1"/>
      <c r="E61" s="2"/>
      <c r="F61" s="2"/>
      <c r="G61" s="2"/>
      <c r="H61" s="20"/>
      <c r="I61" s="2"/>
      <c r="J61" s="20"/>
      <c r="K61" s="2"/>
      <c r="L61" s="2"/>
      <c r="M61" s="2"/>
      <c r="N61" s="2"/>
      <c r="P61" s="4"/>
      <c r="Q61" s="4"/>
      <c r="R61" s="4"/>
      <c r="S61" s="4"/>
      <c r="T61" s="2"/>
      <c r="U61" s="6"/>
      <c r="V61" s="4"/>
      <c r="W61" s="4"/>
      <c r="X61" s="3"/>
      <c r="Y61" s="8"/>
      <c r="Z61" s="3"/>
      <c r="AA61" s="3"/>
      <c r="AB61" s="3"/>
    </row>
    <row r="62" spans="1:28" hidden="1">
      <c r="A62" s="7"/>
      <c r="B62" s="3"/>
      <c r="D62" s="1"/>
      <c r="E62" s="2"/>
      <c r="F62" s="2"/>
      <c r="G62" s="2"/>
      <c r="H62" s="20"/>
      <c r="I62" s="2"/>
      <c r="J62" s="20"/>
      <c r="K62" s="2"/>
      <c r="L62" s="2"/>
      <c r="M62" s="2"/>
      <c r="N62" s="2"/>
      <c r="P62" s="4"/>
      <c r="Q62" s="4"/>
      <c r="R62" s="4"/>
      <c r="S62" s="4"/>
      <c r="T62" s="2"/>
      <c r="U62" s="6"/>
      <c r="V62" s="4"/>
      <c r="W62" s="4"/>
      <c r="X62" s="3"/>
      <c r="Y62" s="8"/>
      <c r="Z62" s="3"/>
      <c r="AA62" s="3"/>
      <c r="AB62" s="3"/>
    </row>
    <row r="63" spans="1:28" hidden="1">
      <c r="A63" s="7"/>
      <c r="B63" s="3"/>
      <c r="D63" s="1"/>
      <c r="E63" s="2"/>
      <c r="F63" s="2"/>
      <c r="G63" s="2"/>
      <c r="H63" s="20"/>
      <c r="I63" s="2"/>
      <c r="J63" s="20"/>
      <c r="K63" s="2"/>
      <c r="L63" s="2"/>
      <c r="M63" s="2"/>
      <c r="N63" s="2"/>
      <c r="P63" s="4"/>
      <c r="Q63" s="4"/>
      <c r="R63" s="4"/>
      <c r="S63" s="4"/>
      <c r="T63" s="2"/>
      <c r="U63" s="6"/>
      <c r="V63" s="4"/>
      <c r="W63" s="4"/>
      <c r="X63" s="3"/>
      <c r="Y63" s="8"/>
      <c r="Z63" s="3"/>
      <c r="AA63" s="3"/>
      <c r="AB63" s="3"/>
    </row>
    <row r="64" spans="1:28" hidden="1">
      <c r="A64" s="7"/>
      <c r="B64" s="3"/>
      <c r="D64" s="1"/>
      <c r="E64" s="2"/>
      <c r="F64" s="2"/>
      <c r="G64" s="2"/>
      <c r="H64" s="20"/>
      <c r="I64" s="2"/>
      <c r="J64" s="20"/>
      <c r="K64" s="2"/>
      <c r="L64" s="2"/>
      <c r="M64" s="2"/>
      <c r="N64" s="2"/>
      <c r="P64" s="4"/>
      <c r="Q64" s="4"/>
      <c r="R64" s="4"/>
      <c r="S64" s="4"/>
      <c r="T64" s="2"/>
      <c r="U64" s="6"/>
      <c r="V64" s="4"/>
      <c r="W64" s="4"/>
      <c r="X64" s="3"/>
      <c r="Y64" s="8"/>
      <c r="Z64" s="3"/>
      <c r="AA64" s="3"/>
      <c r="AB64" s="3"/>
    </row>
    <row r="65" spans="1:28" hidden="1">
      <c r="A65" s="7"/>
      <c r="B65" s="3"/>
      <c r="D65" s="1"/>
      <c r="E65" s="2"/>
      <c r="F65" s="2"/>
      <c r="G65" s="2"/>
      <c r="H65" s="20"/>
      <c r="I65" s="2"/>
      <c r="J65" s="20"/>
      <c r="K65" s="2"/>
      <c r="L65" s="2"/>
      <c r="M65" s="2"/>
      <c r="N65" s="2"/>
      <c r="P65" s="4"/>
      <c r="Q65" s="4"/>
      <c r="R65" s="4"/>
      <c r="S65" s="4"/>
      <c r="T65" s="2"/>
      <c r="U65" s="6"/>
      <c r="V65" s="4"/>
      <c r="W65" s="4"/>
      <c r="X65" s="3"/>
      <c r="Y65" s="8"/>
      <c r="Z65" s="3"/>
      <c r="AA65" s="3"/>
      <c r="AB65" s="3"/>
    </row>
    <row r="66" spans="1:28" hidden="1">
      <c r="A66" s="7"/>
      <c r="B66" s="3"/>
      <c r="D66" s="1"/>
      <c r="E66" s="2"/>
      <c r="F66" s="2"/>
      <c r="G66" s="2"/>
      <c r="H66" s="20"/>
      <c r="I66" s="2"/>
      <c r="J66" s="20"/>
      <c r="K66" s="2"/>
      <c r="L66" s="2"/>
      <c r="M66" s="2"/>
      <c r="N66" s="2"/>
      <c r="P66" s="4"/>
      <c r="Q66" s="4"/>
      <c r="R66" s="4"/>
      <c r="S66" s="4"/>
      <c r="T66" s="2"/>
      <c r="U66" s="6"/>
      <c r="V66" s="4"/>
      <c r="W66" s="4"/>
      <c r="X66" s="3"/>
      <c r="Y66" s="8"/>
      <c r="Z66" s="3"/>
      <c r="AA66" s="3"/>
      <c r="AB66" s="3"/>
    </row>
    <row r="67" spans="1:28" hidden="1">
      <c r="A67" s="7"/>
      <c r="B67" s="3"/>
      <c r="D67" s="1"/>
      <c r="E67" s="2"/>
      <c r="F67" s="2"/>
      <c r="G67" s="2"/>
      <c r="H67" s="20"/>
      <c r="I67" s="2"/>
      <c r="J67" s="20"/>
      <c r="K67" s="2"/>
      <c r="L67" s="2"/>
      <c r="M67" s="2"/>
      <c r="N67" s="2"/>
      <c r="P67" s="4"/>
      <c r="Q67" s="4"/>
      <c r="R67" s="4"/>
      <c r="S67" s="4"/>
      <c r="T67" s="2"/>
      <c r="U67" s="6"/>
      <c r="V67" s="4"/>
      <c r="W67" s="4"/>
      <c r="X67" s="3"/>
      <c r="Y67" s="8"/>
      <c r="Z67" s="3"/>
      <c r="AA67" s="3"/>
      <c r="AB67" s="3"/>
    </row>
    <row r="68" spans="1:28" hidden="1">
      <c r="A68" s="7"/>
      <c r="B68" s="3"/>
      <c r="D68" s="1"/>
      <c r="E68" s="2"/>
      <c r="F68" s="2"/>
      <c r="G68" s="2"/>
      <c r="H68" s="20"/>
      <c r="I68" s="2"/>
      <c r="J68" s="20"/>
      <c r="K68" s="2"/>
      <c r="L68" s="2"/>
      <c r="M68" s="2"/>
      <c r="N68" s="2"/>
      <c r="P68" s="4"/>
      <c r="Q68" s="4"/>
      <c r="R68" s="4"/>
      <c r="S68" s="4"/>
      <c r="T68" s="2"/>
      <c r="U68" s="6"/>
      <c r="V68" s="4"/>
      <c r="W68" s="4"/>
      <c r="X68" s="3"/>
      <c r="Y68" s="8"/>
      <c r="Z68" s="3"/>
      <c r="AA68" s="3"/>
      <c r="AB68" s="3"/>
    </row>
    <row r="69" spans="1:28" hidden="1">
      <c r="A69" s="7"/>
      <c r="B69" s="3"/>
      <c r="D69" s="1"/>
      <c r="E69" s="2"/>
      <c r="F69" s="2"/>
      <c r="G69" s="2"/>
      <c r="H69" s="20"/>
      <c r="I69" s="2"/>
      <c r="J69" s="20"/>
      <c r="K69" s="2"/>
      <c r="L69" s="2"/>
      <c r="M69" s="2"/>
      <c r="N69" s="2"/>
      <c r="P69" s="4"/>
      <c r="Q69" s="4"/>
      <c r="R69" s="4"/>
      <c r="S69" s="4"/>
      <c r="T69" s="2"/>
      <c r="U69" s="6"/>
      <c r="V69" s="4"/>
      <c r="W69" s="4"/>
      <c r="X69" s="3"/>
      <c r="Y69" s="8"/>
      <c r="Z69" s="3"/>
      <c r="AA69" s="3"/>
      <c r="AB69" s="3"/>
    </row>
    <row r="70" spans="1:28" hidden="1">
      <c r="A70" s="7"/>
      <c r="B70" s="3"/>
      <c r="D70" s="1"/>
      <c r="E70" s="2"/>
      <c r="F70" s="2"/>
      <c r="G70" s="2"/>
      <c r="H70" s="20"/>
      <c r="I70" s="2"/>
      <c r="J70" s="20"/>
      <c r="K70" s="2"/>
      <c r="L70" s="2"/>
      <c r="M70" s="2"/>
      <c r="N70" s="2"/>
      <c r="P70" s="4"/>
      <c r="Q70" s="4"/>
      <c r="R70" s="4"/>
      <c r="S70" s="4"/>
      <c r="T70" s="2"/>
      <c r="U70" s="6"/>
      <c r="V70" s="4"/>
      <c r="W70" s="4"/>
      <c r="X70" s="3"/>
      <c r="Y70" s="8"/>
      <c r="Z70" s="3"/>
      <c r="AA70" s="3"/>
      <c r="AB70" s="3"/>
    </row>
    <row r="71" spans="1:28" hidden="1">
      <c r="A71" s="7"/>
      <c r="B71" s="3"/>
      <c r="D71" s="1"/>
      <c r="E71" s="2"/>
      <c r="F71" s="2"/>
      <c r="G71" s="2"/>
      <c r="H71" s="20"/>
      <c r="I71" s="2"/>
      <c r="J71" s="20"/>
      <c r="K71" s="2"/>
      <c r="L71" s="2"/>
      <c r="M71" s="2"/>
      <c r="N71" s="2"/>
      <c r="P71" s="4"/>
      <c r="Q71" s="4"/>
      <c r="R71" s="4"/>
      <c r="S71" s="4"/>
      <c r="T71" s="2"/>
      <c r="U71" s="6"/>
      <c r="V71" s="4"/>
      <c r="W71" s="4"/>
      <c r="X71" s="3"/>
      <c r="Y71" s="8"/>
      <c r="Z71" s="3"/>
      <c r="AA71" s="3"/>
      <c r="AB71" s="3"/>
    </row>
    <row r="72" spans="1:28" hidden="1">
      <c r="A72" s="7"/>
      <c r="B72" s="3"/>
      <c r="D72" s="1"/>
      <c r="E72" s="2"/>
      <c r="F72" s="2"/>
      <c r="G72" s="2"/>
      <c r="H72" s="20"/>
      <c r="I72" s="2"/>
      <c r="J72" s="20"/>
      <c r="K72" s="2"/>
      <c r="L72" s="2"/>
      <c r="M72" s="2"/>
      <c r="N72" s="2"/>
      <c r="P72" s="4"/>
      <c r="Q72" s="4"/>
      <c r="R72" s="4"/>
      <c r="S72" s="4"/>
      <c r="T72" s="2"/>
      <c r="U72" s="6"/>
      <c r="V72" s="4"/>
      <c r="W72" s="4"/>
      <c r="X72" s="3"/>
      <c r="Y72" s="8"/>
      <c r="Z72" s="3"/>
      <c r="AA72" s="3"/>
      <c r="AB72" s="3"/>
    </row>
    <row r="73" spans="1:28" hidden="1">
      <c r="A73" s="7"/>
      <c r="B73" s="3"/>
      <c r="D73" s="1"/>
      <c r="E73" s="2"/>
      <c r="F73" s="2"/>
      <c r="G73" s="2"/>
      <c r="H73" s="20"/>
      <c r="I73" s="2"/>
      <c r="J73" s="20"/>
      <c r="K73" s="2"/>
      <c r="L73" s="2"/>
      <c r="M73" s="2"/>
      <c r="N73" s="2"/>
      <c r="P73" s="4"/>
      <c r="Q73" s="4"/>
      <c r="R73" s="4"/>
      <c r="S73" s="4"/>
      <c r="T73" s="2"/>
      <c r="U73" s="6"/>
      <c r="V73" s="4"/>
      <c r="W73" s="4"/>
      <c r="X73" s="3"/>
      <c r="Y73" s="8"/>
      <c r="Z73" s="3"/>
      <c r="AA73" s="3"/>
      <c r="AB73" s="3"/>
    </row>
    <row r="74" spans="1:28" hidden="1">
      <c r="A74" s="7"/>
      <c r="B74" s="3"/>
      <c r="D74" s="1"/>
      <c r="E74" s="2"/>
      <c r="F74" s="2"/>
      <c r="G74" s="2"/>
      <c r="H74" s="20"/>
      <c r="I74" s="2"/>
      <c r="J74" s="20"/>
      <c r="K74" s="2"/>
      <c r="L74" s="2"/>
      <c r="M74" s="2"/>
      <c r="N74" s="2"/>
      <c r="P74" s="4"/>
      <c r="Q74" s="4"/>
      <c r="R74" s="4"/>
      <c r="S74" s="4"/>
      <c r="T74" s="2"/>
      <c r="U74" s="6"/>
      <c r="V74" s="4"/>
      <c r="W74" s="4"/>
      <c r="X74" s="3"/>
      <c r="Y74" s="8"/>
      <c r="Z74" s="3"/>
      <c r="AA74" s="3"/>
      <c r="AB74" s="3"/>
    </row>
    <row r="75" spans="1:28" hidden="1">
      <c r="A75" s="7"/>
      <c r="B75" s="3"/>
      <c r="D75" s="1"/>
      <c r="E75" s="2"/>
      <c r="F75" s="2"/>
      <c r="G75" s="2"/>
      <c r="H75" s="20"/>
      <c r="I75" s="2"/>
      <c r="J75" s="20"/>
      <c r="K75" s="2"/>
      <c r="L75" s="2"/>
      <c r="M75" s="2"/>
      <c r="N75" s="2"/>
      <c r="P75" s="4"/>
      <c r="Q75" s="4"/>
      <c r="R75" s="4"/>
      <c r="S75" s="4"/>
      <c r="T75" s="2"/>
      <c r="U75" s="6"/>
      <c r="V75" s="4"/>
      <c r="W75" s="4"/>
      <c r="X75" s="3"/>
      <c r="Y75" s="8"/>
      <c r="Z75" s="3"/>
      <c r="AA75" s="3"/>
      <c r="AB75" s="3"/>
    </row>
    <row r="76" spans="1:28" hidden="1">
      <c r="A76" s="7"/>
      <c r="B76" s="3"/>
      <c r="D76" s="1"/>
      <c r="E76" s="2"/>
      <c r="F76" s="2"/>
      <c r="G76" s="2"/>
      <c r="H76" s="20"/>
      <c r="I76" s="2"/>
      <c r="J76" s="20"/>
      <c r="K76" s="2"/>
      <c r="L76" s="2"/>
      <c r="M76" s="2"/>
      <c r="N76" s="2"/>
      <c r="P76" s="4"/>
      <c r="Q76" s="4"/>
      <c r="R76" s="4"/>
      <c r="S76" s="4"/>
      <c r="T76" s="2"/>
      <c r="U76" s="6"/>
      <c r="V76" s="4"/>
      <c r="W76" s="4"/>
      <c r="X76" s="3"/>
      <c r="Y76" s="8"/>
      <c r="Z76" s="3"/>
      <c r="AA76" s="3"/>
      <c r="AB76" s="3"/>
    </row>
    <row r="77" spans="1:28" hidden="1">
      <c r="A77" s="7"/>
      <c r="B77" s="3"/>
      <c r="D77" s="1"/>
      <c r="E77" s="2"/>
      <c r="F77" s="2"/>
      <c r="G77" s="2"/>
      <c r="H77" s="20"/>
      <c r="I77" s="2"/>
      <c r="J77" s="20"/>
      <c r="K77" s="2"/>
      <c r="L77" s="2"/>
      <c r="M77" s="2"/>
      <c r="N77" s="2"/>
      <c r="P77" s="4"/>
      <c r="Q77" s="4"/>
      <c r="R77" s="4"/>
      <c r="S77" s="4"/>
      <c r="T77" s="2"/>
      <c r="U77" s="6"/>
      <c r="V77" s="4"/>
      <c r="W77" s="4"/>
      <c r="X77" s="3"/>
      <c r="Y77" s="8"/>
      <c r="Z77" s="3"/>
      <c r="AA77" s="3"/>
      <c r="AB77" s="3"/>
    </row>
    <row r="78" spans="1:28" hidden="1">
      <c r="A78" s="7"/>
      <c r="B78" s="3"/>
      <c r="D78" s="1"/>
      <c r="E78" s="2"/>
      <c r="F78" s="2"/>
      <c r="G78" s="2"/>
      <c r="H78" s="20"/>
      <c r="I78" s="2"/>
      <c r="J78" s="20"/>
      <c r="K78" s="2"/>
      <c r="L78" s="2"/>
      <c r="M78" s="2"/>
      <c r="N78" s="2"/>
      <c r="P78" s="4"/>
      <c r="Q78" s="4"/>
      <c r="R78" s="4"/>
      <c r="S78" s="4"/>
      <c r="T78" s="2"/>
      <c r="U78" s="6"/>
      <c r="V78" s="4"/>
      <c r="W78" s="4"/>
      <c r="X78" s="3"/>
      <c r="Y78" s="8"/>
      <c r="Z78" s="3"/>
      <c r="AA78" s="3"/>
      <c r="AB78" s="3"/>
    </row>
    <row r="79" spans="1:28" hidden="1">
      <c r="A79" s="7"/>
      <c r="B79" s="3"/>
      <c r="D79" s="1"/>
      <c r="E79" s="2"/>
      <c r="F79" s="2"/>
      <c r="G79" s="2"/>
      <c r="H79" s="20"/>
      <c r="I79" s="2"/>
      <c r="J79" s="20"/>
      <c r="K79" s="2"/>
      <c r="L79" s="2"/>
      <c r="M79" s="2"/>
      <c r="N79" s="2"/>
      <c r="P79" s="4"/>
      <c r="Q79" s="4"/>
      <c r="R79" s="4"/>
      <c r="S79" s="4"/>
      <c r="T79" s="2"/>
      <c r="U79" s="6"/>
      <c r="V79" s="4"/>
      <c r="W79" s="4"/>
      <c r="X79" s="3"/>
      <c r="Y79" s="8"/>
      <c r="Z79" s="3"/>
      <c r="AA79" s="3"/>
      <c r="AB79" s="3"/>
    </row>
    <row r="80" spans="1:28" hidden="1">
      <c r="A80" s="7"/>
      <c r="B80" s="3"/>
      <c r="D80" s="1"/>
      <c r="E80" s="2"/>
      <c r="F80" s="2"/>
      <c r="G80" s="2"/>
      <c r="H80" s="20"/>
      <c r="I80" s="2"/>
      <c r="J80" s="20"/>
      <c r="K80" s="2"/>
      <c r="L80" s="2"/>
      <c r="M80" s="2"/>
      <c r="N80" s="2"/>
      <c r="P80" s="4"/>
      <c r="Q80" s="4"/>
      <c r="R80" s="4"/>
      <c r="S80" s="4"/>
      <c r="T80" s="2"/>
      <c r="U80" s="6"/>
      <c r="V80" s="4"/>
      <c r="W80" s="4"/>
      <c r="X80" s="3"/>
      <c r="Y80" s="8"/>
      <c r="Z80" s="3"/>
      <c r="AA80" s="3"/>
      <c r="AB80" s="3"/>
    </row>
    <row r="81" spans="1:28" hidden="1">
      <c r="A81" s="7"/>
      <c r="B81" s="3"/>
      <c r="D81" s="1"/>
      <c r="E81" s="2"/>
      <c r="F81" s="2"/>
      <c r="G81" s="2"/>
      <c r="H81" s="20"/>
      <c r="I81" s="2"/>
      <c r="J81" s="20"/>
      <c r="K81" s="2"/>
      <c r="L81" s="2"/>
      <c r="M81" s="2"/>
      <c r="N81" s="2"/>
      <c r="P81" s="4"/>
      <c r="Q81" s="4"/>
      <c r="R81" s="4"/>
      <c r="S81" s="4"/>
      <c r="T81" s="2"/>
      <c r="U81" s="6"/>
      <c r="V81" s="4"/>
      <c r="W81" s="4"/>
      <c r="X81" s="3"/>
      <c r="Y81" s="8"/>
      <c r="Z81" s="3"/>
      <c r="AA81" s="3"/>
      <c r="AB81" s="3"/>
    </row>
    <row r="82" spans="1:28" hidden="1">
      <c r="A82" s="7"/>
      <c r="B82" s="3"/>
      <c r="D82" s="1"/>
      <c r="E82" s="2"/>
      <c r="F82" s="2"/>
      <c r="G82" s="2"/>
      <c r="H82" s="20"/>
      <c r="I82" s="2"/>
      <c r="J82" s="20"/>
      <c r="K82" s="2"/>
      <c r="L82" s="2"/>
      <c r="M82" s="2"/>
      <c r="N82" s="2"/>
      <c r="P82" s="4"/>
      <c r="Q82" s="4"/>
      <c r="R82" s="4"/>
      <c r="S82" s="4"/>
      <c r="T82" s="2"/>
      <c r="U82" s="6"/>
      <c r="V82" s="4"/>
      <c r="W82" s="4"/>
      <c r="X82" s="3"/>
      <c r="Y82" s="8"/>
      <c r="Z82" s="3"/>
      <c r="AA82" s="3"/>
      <c r="AB82" s="3"/>
    </row>
    <row r="83" spans="1:28" hidden="1">
      <c r="A83" s="7"/>
      <c r="B83" s="3"/>
      <c r="D83" s="1"/>
      <c r="E83" s="2"/>
      <c r="F83" s="2"/>
      <c r="G83" s="2"/>
      <c r="H83" s="20"/>
      <c r="I83" s="2"/>
      <c r="J83" s="20"/>
      <c r="K83" s="2"/>
      <c r="L83" s="2"/>
      <c r="M83" s="2"/>
      <c r="N83" s="2"/>
      <c r="P83" s="4"/>
      <c r="Q83" s="4"/>
      <c r="R83" s="4"/>
      <c r="S83" s="4"/>
      <c r="T83" s="2"/>
      <c r="U83" s="6"/>
      <c r="V83" s="4"/>
      <c r="W83" s="4"/>
      <c r="X83" s="3"/>
      <c r="Y83" s="8"/>
      <c r="Z83" s="3"/>
      <c r="AA83" s="3"/>
      <c r="AB83" s="3"/>
    </row>
    <row r="84" spans="1:28" hidden="1">
      <c r="A84" s="7"/>
      <c r="B84" s="3"/>
      <c r="D84" s="1"/>
      <c r="E84" s="2"/>
      <c r="F84" s="2"/>
      <c r="G84" s="2"/>
      <c r="H84" s="20"/>
      <c r="I84" s="2"/>
      <c r="J84" s="20"/>
      <c r="K84" s="2"/>
      <c r="L84" s="2"/>
      <c r="M84" s="2"/>
      <c r="N84" s="2"/>
      <c r="P84" s="4"/>
      <c r="Q84" s="4"/>
      <c r="R84" s="4"/>
      <c r="S84" s="4"/>
      <c r="T84" s="2"/>
      <c r="U84" s="6"/>
      <c r="V84" s="4"/>
      <c r="W84" s="4"/>
      <c r="X84" s="3"/>
      <c r="Y84" s="8"/>
      <c r="Z84" s="3"/>
      <c r="AA84" s="3"/>
      <c r="AB84" s="3"/>
    </row>
    <row r="85" spans="1:28" hidden="1">
      <c r="A85" s="7"/>
      <c r="B85" s="3"/>
      <c r="D85" s="1"/>
      <c r="E85" s="2"/>
      <c r="F85" s="2"/>
      <c r="G85" s="2"/>
      <c r="H85" s="20"/>
      <c r="I85" s="2"/>
      <c r="J85" s="20"/>
      <c r="K85" s="2"/>
      <c r="L85" s="2"/>
      <c r="M85" s="2"/>
      <c r="N85" s="2"/>
      <c r="P85" s="4"/>
      <c r="Q85" s="4"/>
      <c r="R85" s="4"/>
      <c r="S85" s="4"/>
      <c r="T85" s="2"/>
      <c r="U85" s="6"/>
      <c r="V85" s="4"/>
      <c r="W85" s="4"/>
      <c r="X85" s="3"/>
      <c r="Y85" s="8"/>
      <c r="Z85" s="3"/>
      <c r="AA85" s="3"/>
      <c r="AB85" s="3"/>
    </row>
    <row r="86" spans="1:28" hidden="1">
      <c r="A86" s="7"/>
      <c r="B86" s="3"/>
      <c r="D86" s="1"/>
      <c r="E86" s="2"/>
      <c r="F86" s="2"/>
      <c r="G86" s="2"/>
      <c r="H86" s="20"/>
      <c r="I86" s="2"/>
      <c r="J86" s="20"/>
      <c r="K86" s="2"/>
      <c r="L86" s="2"/>
      <c r="M86" s="2"/>
      <c r="N86" s="2"/>
      <c r="P86" s="4"/>
      <c r="Q86" s="4"/>
      <c r="R86" s="4"/>
      <c r="S86" s="4"/>
      <c r="T86" s="2"/>
      <c r="U86" s="6"/>
      <c r="V86" s="4"/>
      <c r="W86" s="4"/>
      <c r="X86" s="3"/>
      <c r="Y86" s="8"/>
      <c r="Z86" s="3"/>
      <c r="AA86" s="3"/>
      <c r="AB86" s="3"/>
    </row>
    <row r="87" spans="1:28" hidden="1">
      <c r="A87" s="7"/>
      <c r="B87" s="3"/>
      <c r="D87" s="1"/>
      <c r="E87" s="2"/>
      <c r="F87" s="2"/>
      <c r="G87" s="2"/>
      <c r="H87" s="20"/>
      <c r="I87" s="2"/>
      <c r="J87" s="20"/>
      <c r="K87" s="2"/>
      <c r="L87" s="2"/>
      <c r="M87" s="2"/>
      <c r="N87" s="2"/>
      <c r="P87" s="4"/>
      <c r="Q87" s="4"/>
      <c r="R87" s="4"/>
      <c r="S87" s="4"/>
      <c r="T87" s="2"/>
      <c r="U87" s="6"/>
      <c r="V87" s="4"/>
      <c r="W87" s="4"/>
      <c r="X87" s="3"/>
      <c r="Y87" s="8"/>
      <c r="Z87" s="3"/>
      <c r="AA87" s="3"/>
      <c r="AB87" s="3"/>
    </row>
    <row r="88" spans="1:28" hidden="1">
      <c r="A88" s="7"/>
      <c r="B88" s="3"/>
      <c r="D88" s="1"/>
      <c r="E88" s="2"/>
      <c r="F88" s="2"/>
      <c r="G88" s="2"/>
      <c r="H88" s="20"/>
      <c r="I88" s="2"/>
      <c r="J88" s="20"/>
      <c r="K88" s="2"/>
      <c r="L88" s="2"/>
      <c r="M88" s="2"/>
      <c r="N88" s="2"/>
      <c r="P88" s="4"/>
      <c r="Q88" s="4"/>
      <c r="R88" s="4"/>
      <c r="S88" s="4"/>
      <c r="T88" s="2"/>
      <c r="U88" s="6"/>
      <c r="V88" s="4"/>
      <c r="W88" s="4"/>
      <c r="X88" s="3"/>
      <c r="Y88" s="8"/>
      <c r="Z88" s="3"/>
      <c r="AA88" s="3"/>
      <c r="AB88" s="3"/>
    </row>
    <row r="89" spans="1:28" hidden="1">
      <c r="A89" s="7"/>
      <c r="B89" s="3"/>
      <c r="D89" s="1"/>
      <c r="E89" s="2"/>
      <c r="F89" s="2"/>
      <c r="G89" s="2"/>
      <c r="H89" s="20"/>
      <c r="I89" s="2"/>
      <c r="J89" s="20"/>
      <c r="K89" s="2"/>
      <c r="L89" s="2"/>
      <c r="M89" s="2"/>
      <c r="N89" s="2"/>
      <c r="P89" s="4"/>
      <c r="Q89" s="4"/>
      <c r="R89" s="4"/>
      <c r="S89" s="4"/>
      <c r="T89" s="2"/>
      <c r="U89" s="6"/>
      <c r="V89" s="4"/>
      <c r="W89" s="4"/>
      <c r="X89" s="3"/>
      <c r="Y89" s="8"/>
      <c r="Z89" s="3"/>
      <c r="AA89" s="3"/>
      <c r="AB89" s="3"/>
    </row>
    <row r="90" spans="1:28" hidden="1">
      <c r="A90" s="7"/>
      <c r="B90" s="3"/>
      <c r="D90" s="1"/>
      <c r="E90" s="2"/>
      <c r="F90" s="2"/>
      <c r="G90" s="2"/>
      <c r="H90" s="20"/>
      <c r="I90" s="2"/>
      <c r="J90" s="20"/>
      <c r="K90" s="2"/>
      <c r="L90" s="2"/>
      <c r="M90" s="2"/>
      <c r="N90" s="2"/>
      <c r="P90" s="4"/>
      <c r="Q90" s="4"/>
      <c r="R90" s="4"/>
      <c r="S90" s="4"/>
      <c r="T90" s="2"/>
      <c r="U90" s="6"/>
      <c r="V90" s="4"/>
      <c r="W90" s="4"/>
      <c r="X90" s="3"/>
      <c r="Y90" s="8"/>
      <c r="Z90" s="3"/>
      <c r="AA90" s="3"/>
      <c r="AB90" s="3"/>
    </row>
    <row r="91" spans="1:28" hidden="1">
      <c r="A91" s="7"/>
      <c r="B91" s="3"/>
      <c r="D91" s="1"/>
      <c r="E91" s="2"/>
      <c r="F91" s="2"/>
      <c r="G91" s="2"/>
      <c r="H91" s="20"/>
      <c r="I91" s="2"/>
      <c r="J91" s="20"/>
      <c r="K91" s="2"/>
      <c r="L91" s="2"/>
      <c r="M91" s="2"/>
      <c r="N91" s="2"/>
      <c r="P91" s="4"/>
      <c r="Q91" s="4"/>
      <c r="R91" s="4"/>
      <c r="S91" s="4"/>
      <c r="T91" s="2"/>
      <c r="U91" s="6"/>
      <c r="V91" s="4"/>
      <c r="W91" s="4"/>
      <c r="X91" s="3"/>
      <c r="Y91" s="8"/>
      <c r="Z91" s="3"/>
      <c r="AA91" s="3"/>
      <c r="AB91" s="3"/>
    </row>
    <row r="92" spans="1:28" hidden="1">
      <c r="A92" s="7"/>
      <c r="B92" s="3"/>
      <c r="D92" s="1"/>
      <c r="E92" s="2"/>
      <c r="F92" s="2"/>
      <c r="G92" s="2"/>
      <c r="H92" s="20"/>
      <c r="I92" s="2"/>
      <c r="J92" s="20"/>
      <c r="K92" s="2"/>
      <c r="L92" s="2"/>
      <c r="M92" s="2"/>
      <c r="N92" s="2"/>
      <c r="P92" s="4"/>
      <c r="Q92" s="4"/>
      <c r="R92" s="4"/>
      <c r="S92" s="4"/>
      <c r="T92" s="2"/>
      <c r="U92" s="6"/>
      <c r="V92" s="4"/>
      <c r="W92" s="4"/>
      <c r="X92" s="3"/>
      <c r="Y92" s="8"/>
      <c r="Z92" s="3"/>
      <c r="AA92" s="3"/>
      <c r="AB92" s="3"/>
    </row>
    <row r="93" spans="1:28" hidden="1">
      <c r="A93" s="7"/>
      <c r="B93" s="3"/>
      <c r="D93" s="1"/>
      <c r="E93" s="2"/>
      <c r="F93" s="2"/>
      <c r="G93" s="2"/>
      <c r="H93" s="20"/>
      <c r="I93" s="2"/>
      <c r="J93" s="20"/>
      <c r="K93" s="2"/>
      <c r="L93" s="2"/>
      <c r="M93" s="2"/>
      <c r="N93" s="2"/>
      <c r="P93" s="4"/>
      <c r="Q93" s="4"/>
      <c r="R93" s="4"/>
      <c r="S93" s="4"/>
      <c r="T93" s="2"/>
      <c r="U93" s="6"/>
      <c r="V93" s="4"/>
      <c r="W93" s="4"/>
      <c r="X93" s="3"/>
      <c r="Y93" s="8"/>
      <c r="Z93" s="3"/>
      <c r="AA93" s="3"/>
      <c r="AB93" s="3"/>
    </row>
    <row r="94" spans="1:28" hidden="1">
      <c r="A94" s="7"/>
      <c r="B94" s="3"/>
      <c r="D94" s="1"/>
      <c r="E94" s="2"/>
      <c r="F94" s="2"/>
      <c r="G94" s="2"/>
      <c r="H94" s="20"/>
      <c r="I94" s="2"/>
      <c r="J94" s="20"/>
      <c r="K94" s="2"/>
      <c r="L94" s="2"/>
      <c r="M94" s="2"/>
      <c r="N94" s="2"/>
      <c r="P94" s="4"/>
      <c r="Q94" s="4"/>
      <c r="R94" s="4"/>
      <c r="S94" s="4"/>
      <c r="T94" s="2"/>
      <c r="U94" s="6"/>
      <c r="V94" s="4"/>
      <c r="W94" s="4"/>
      <c r="X94" s="3"/>
      <c r="Y94" s="8"/>
      <c r="Z94" s="3"/>
      <c r="AA94" s="3"/>
      <c r="AB94" s="3"/>
    </row>
    <row r="95" spans="1:28" hidden="1">
      <c r="A95" s="7"/>
      <c r="B95" s="3"/>
      <c r="D95" s="1"/>
      <c r="E95" s="2"/>
      <c r="F95" s="2"/>
      <c r="G95" s="2"/>
      <c r="H95" s="20"/>
      <c r="I95" s="2"/>
      <c r="J95" s="20"/>
      <c r="K95" s="2"/>
      <c r="L95" s="2"/>
      <c r="M95" s="2"/>
      <c r="N95" s="2"/>
      <c r="P95" s="4"/>
      <c r="Q95" s="4"/>
      <c r="R95" s="4"/>
      <c r="S95" s="4"/>
      <c r="T95" s="2"/>
      <c r="U95" s="6"/>
      <c r="V95" s="4"/>
      <c r="W95" s="4"/>
      <c r="X95" s="3"/>
      <c r="Y95" s="8"/>
      <c r="Z95" s="3"/>
      <c r="AA95" s="3"/>
      <c r="AB95" s="3"/>
    </row>
    <row r="96" spans="1:28" hidden="1">
      <c r="A96" s="7"/>
      <c r="B96" s="3"/>
      <c r="D96" s="1"/>
      <c r="E96" s="2"/>
      <c r="F96" s="2"/>
      <c r="G96" s="2"/>
      <c r="H96" s="20"/>
      <c r="I96" s="2"/>
      <c r="J96" s="20"/>
      <c r="K96" s="2"/>
      <c r="L96" s="2"/>
      <c r="M96" s="2"/>
      <c r="N96" s="2"/>
      <c r="P96" s="4"/>
      <c r="Q96" s="4"/>
      <c r="R96" s="4"/>
      <c r="S96" s="4"/>
      <c r="T96" s="2"/>
      <c r="U96" s="6"/>
      <c r="V96" s="4"/>
      <c r="W96" s="4"/>
      <c r="X96" s="3"/>
      <c r="Y96" s="8"/>
      <c r="Z96" s="3"/>
      <c r="AA96" s="3"/>
      <c r="AB96" s="3"/>
    </row>
    <row r="97" spans="1:28" hidden="1">
      <c r="A97" s="7"/>
      <c r="B97" s="3"/>
      <c r="D97" s="1"/>
      <c r="E97" s="2"/>
      <c r="F97" s="2"/>
      <c r="G97" s="2"/>
      <c r="H97" s="20"/>
      <c r="I97" s="2"/>
      <c r="J97" s="20"/>
      <c r="K97" s="2"/>
      <c r="L97" s="2"/>
      <c r="M97" s="2"/>
      <c r="N97" s="2"/>
      <c r="P97" s="4"/>
      <c r="Q97" s="4"/>
      <c r="R97" s="4"/>
      <c r="S97" s="4"/>
      <c r="T97" s="2"/>
      <c r="U97" s="6"/>
      <c r="V97" s="4"/>
      <c r="W97" s="4"/>
      <c r="X97" s="3"/>
      <c r="Y97" s="8"/>
      <c r="Z97" s="3"/>
      <c r="AA97" s="3"/>
      <c r="AB97" s="3"/>
    </row>
    <row r="98" spans="1:28" hidden="1">
      <c r="A98" s="7"/>
      <c r="B98" s="3"/>
      <c r="D98" s="1"/>
      <c r="E98" s="2"/>
      <c r="F98" s="2"/>
      <c r="G98" s="2"/>
      <c r="H98" s="20"/>
      <c r="I98" s="2"/>
      <c r="J98" s="20"/>
      <c r="K98" s="2"/>
      <c r="L98" s="2"/>
      <c r="M98" s="2"/>
      <c r="N98" s="2"/>
      <c r="P98" s="4"/>
      <c r="Q98" s="4"/>
      <c r="R98" s="4"/>
      <c r="S98" s="4"/>
      <c r="T98" s="2"/>
      <c r="U98" s="6"/>
      <c r="V98" s="4"/>
      <c r="W98" s="4"/>
      <c r="X98" s="3"/>
      <c r="Y98" s="8"/>
      <c r="Z98" s="3"/>
      <c r="AA98" s="3"/>
      <c r="AB98" s="3"/>
    </row>
    <row r="99" spans="1:28" ht="22.5" customHeight="1">
      <c r="A99" s="11" t="s">
        <v>28</v>
      </c>
      <c r="B99" s="11" t="s">
        <v>37</v>
      </c>
      <c r="C99" s="12"/>
      <c r="D99" s="13" t="s">
        <v>1</v>
      </c>
      <c r="E99" s="11" t="s">
        <v>21</v>
      </c>
      <c r="F99" s="13" t="s">
        <v>2</v>
      </c>
      <c r="G99" s="13" t="s">
        <v>3</v>
      </c>
      <c r="H99" s="13" t="s">
        <v>38</v>
      </c>
      <c r="I99" s="13" t="s">
        <v>39</v>
      </c>
      <c r="J99" s="11" t="s">
        <v>42</v>
      </c>
      <c r="K99" s="11" t="s">
        <v>43</v>
      </c>
      <c r="L99" s="11" t="s">
        <v>165</v>
      </c>
      <c r="M99" s="13" t="s">
        <v>19</v>
      </c>
      <c r="N99" s="13" t="s">
        <v>20</v>
      </c>
      <c r="O99" s="12"/>
      <c r="P99" s="14" t="s">
        <v>6</v>
      </c>
      <c r="Q99" s="14" t="s">
        <v>7</v>
      </c>
      <c r="R99" s="14" t="s">
        <v>8</v>
      </c>
      <c r="S99" s="14" t="s">
        <v>22</v>
      </c>
      <c r="T99" s="14" t="s">
        <v>23</v>
      </c>
      <c r="U99" s="14" t="s">
        <v>9</v>
      </c>
      <c r="V99" s="14" t="s">
        <v>10</v>
      </c>
      <c r="W99" s="14" t="s">
        <v>12</v>
      </c>
      <c r="X99" s="14" t="s">
        <v>13</v>
      </c>
      <c r="Y99" s="14" t="s">
        <v>14</v>
      </c>
      <c r="Z99" s="14" t="s">
        <v>15</v>
      </c>
      <c r="AA99" s="14" t="s">
        <v>16</v>
      </c>
      <c r="AB99" s="14" t="s">
        <v>36</v>
      </c>
    </row>
    <row r="100" spans="1:28" ht="22.5" customHeight="1">
      <c r="A100" s="11" t="s">
        <v>24</v>
      </c>
      <c r="B100" s="11" t="s">
        <v>4</v>
      </c>
      <c r="C100" s="12"/>
      <c r="D100" s="13" t="s">
        <v>0</v>
      </c>
      <c r="E100" s="13" t="s">
        <v>4</v>
      </c>
      <c r="F100" s="13" t="s">
        <v>4</v>
      </c>
      <c r="G100" s="13" t="s">
        <v>4</v>
      </c>
      <c r="H100" s="13" t="s">
        <v>4</v>
      </c>
      <c r="I100" s="13" t="s">
        <v>4</v>
      </c>
      <c r="J100" s="13" t="s">
        <v>4</v>
      </c>
      <c r="K100" s="13" t="s">
        <v>4</v>
      </c>
      <c r="L100" s="13" t="s">
        <v>4</v>
      </c>
      <c r="M100" s="13" t="s">
        <v>45</v>
      </c>
      <c r="N100" s="13" t="s">
        <v>5</v>
      </c>
      <c r="O100" s="12"/>
      <c r="P100" s="13" t="s">
        <v>4</v>
      </c>
      <c r="Q100" s="13" t="s">
        <v>4</v>
      </c>
      <c r="R100" s="13"/>
      <c r="S100" s="13" t="s">
        <v>4</v>
      </c>
      <c r="T100" s="13" t="s">
        <v>4</v>
      </c>
      <c r="U100" s="13" t="s">
        <v>4</v>
      </c>
      <c r="V100" s="14" t="s">
        <v>11</v>
      </c>
      <c r="W100" s="13"/>
      <c r="X100" s="13" t="s">
        <v>18</v>
      </c>
      <c r="Y100" s="13" t="s">
        <v>18</v>
      </c>
      <c r="Z100" s="13" t="s">
        <v>18</v>
      </c>
      <c r="AA100" s="13" t="s">
        <v>17</v>
      </c>
      <c r="AB100" s="14" t="s">
        <v>4</v>
      </c>
    </row>
    <row r="101" spans="1:28">
      <c r="A101" s="7">
        <f>A3</f>
        <v>490</v>
      </c>
      <c r="B101" s="3">
        <f>B3</f>
        <v>213.839527</v>
      </c>
      <c r="D101" s="1">
        <f>MAX(D3:D98)+1</f>
        <v>33</v>
      </c>
      <c r="E101" s="2">
        <f>E3</f>
        <v>10</v>
      </c>
      <c r="F101" s="2">
        <f>F3</f>
        <v>10</v>
      </c>
      <c r="G101" s="2">
        <f t="shared" si="6"/>
        <v>7.0710678118654746</v>
      </c>
      <c r="H101" s="2">
        <f>-$AB$3</f>
        <v>-128</v>
      </c>
      <c r="I101" s="2">
        <f t="shared" ref="I101:I108" si="61">E101*(MAX($D$101:$D$143)-D101+0.5)</f>
        <v>75</v>
      </c>
      <c r="J101" s="20">
        <f t="shared" ref="J101:J108" si="62">H101-B101</f>
        <v>-341.83952699999998</v>
      </c>
      <c r="K101" s="2">
        <f>I101</f>
        <v>75</v>
      </c>
      <c r="L101" s="2">
        <f t="shared" ref="L101:L108" si="63">SQRT(J101^2+K101^2)</f>
        <v>349.97037334549293</v>
      </c>
      <c r="M101" s="2">
        <f>IF(J101=0,"infinity",ABS(K101/J101))</f>
        <v>0.21940119288779616</v>
      </c>
      <c r="N101" s="2">
        <f>IF(J101=0,90,ATAN(M101)*180/PI())</f>
        <v>12.374689198688454</v>
      </c>
      <c r="P101" s="4">
        <f>0.209 * (ABS(N101)+2)^-0.32 * F101</f>
        <v>0.89066580273287954</v>
      </c>
      <c r="Q101" s="4">
        <f t="shared" ref="Q101:Q108" si="64">MIN(1.087*(N101+6)^-0.65 * F101, 0.17*F101)</f>
        <v>1.6386512849161037</v>
      </c>
      <c r="R101" s="4">
        <f t="shared" ref="R101:R108" si="65">Q101/L101</f>
        <v>4.6822571558033481E-3</v>
      </c>
      <c r="S101" s="4">
        <f t="shared" ref="S101:S108" si="66">INDEX($Q$3:$Q$143, MATCH(MIN($R$3:$R$143),$R$3:$R$143,0))</f>
        <v>0.61667582932448461</v>
      </c>
      <c r="T101" s="2">
        <f t="shared" ref="T101:T108" si="67">INDEX($L$3:$L$143, MATCH(MIN($R$3:$R$143),$R$3:$R$143,0))</f>
        <v>346.20928200957252</v>
      </c>
      <c r="U101" s="6">
        <f t="shared" ref="U101:U108" si="68">S101*L101/T101</f>
        <v>0.62337517055901492</v>
      </c>
      <c r="V101" s="4">
        <f t="shared" ref="V101:V108" si="69">U101/P101</f>
        <v>0.69989795122511511</v>
      </c>
      <c r="W101" s="4">
        <f t="shared" ref="W101:W108" si="70">POWER(V101*(1.9-0.9*V101),0.3)</f>
        <v>0.96529699631347765</v>
      </c>
      <c r="X101" s="3">
        <f t="shared" ref="X101:X108" si="71">0.6*A101*G101*E101*(1+0.5*SIN(N101*PI()/180)^1.5)*W101/1000</f>
        <v>21.062925089710362</v>
      </c>
      <c r="Y101" s="8">
        <f>X101*SIN(N101*PI()/180)</f>
        <v>4.5138660356508753</v>
      </c>
      <c r="Z101" s="3">
        <f>X101*COS(N101*PI()/180)</f>
        <v>20.573571074243471</v>
      </c>
      <c r="AA101" s="3">
        <f t="shared" ref="AA101:AA108" si="72">L101*X101</f>
        <v>7371.3997573940851</v>
      </c>
      <c r="AB101" s="3">
        <f>AB13-B3</f>
        <v>266.16047300000002</v>
      </c>
    </row>
    <row r="102" spans="1:28">
      <c r="A102" s="7">
        <f>A101</f>
        <v>490</v>
      </c>
      <c r="B102" s="3">
        <f>B101</f>
        <v>213.839527</v>
      </c>
      <c r="D102" s="1">
        <f>D101+1</f>
        <v>34</v>
      </c>
      <c r="E102" s="2">
        <f t="shared" ref="E102:F104" si="73">E101</f>
        <v>10</v>
      </c>
      <c r="F102" s="2">
        <f t="shared" si="73"/>
        <v>10</v>
      </c>
      <c r="G102" s="2">
        <f t="shared" si="6"/>
        <v>7.0710678118654746</v>
      </c>
      <c r="H102" s="2">
        <f t="shared" ref="H102:H108" si="74">-$AB$3</f>
        <v>-128</v>
      </c>
      <c r="I102" s="2">
        <f t="shared" si="61"/>
        <v>65</v>
      </c>
      <c r="J102" s="20">
        <f t="shared" si="62"/>
        <v>-341.83952699999998</v>
      </c>
      <c r="K102" s="2">
        <f t="shared" ref="K102:K108" si="75">I102</f>
        <v>65</v>
      </c>
      <c r="L102" s="2">
        <f t="shared" si="63"/>
        <v>347.96445539678865</v>
      </c>
      <c r="M102" s="2">
        <f t="shared" ref="M102:M108" si="76">IF(J102=0,"infinity",ABS(K102/J102))</f>
        <v>0.19014770050275667</v>
      </c>
      <c r="N102" s="2">
        <f t="shared" ref="N102:N108" si="77">IF(J102=0,90,ATAN(M102)*180/PI())</f>
        <v>10.766134626442506</v>
      </c>
      <c r="P102" s="4">
        <f t="shared" ref="P102:P108" si="78">0.209 * (N102+2)^-0.32 * F102</f>
        <v>0.9251396014068356</v>
      </c>
      <c r="Q102" s="4">
        <f t="shared" si="64"/>
        <v>1.7000000000000002</v>
      </c>
      <c r="R102" s="4">
        <f t="shared" si="65"/>
        <v>4.8855564803636821E-3</v>
      </c>
      <c r="S102" s="4">
        <f t="shared" si="66"/>
        <v>0.61667582932448461</v>
      </c>
      <c r="T102" s="2">
        <f t="shared" si="67"/>
        <v>346.20928200957252</v>
      </c>
      <c r="U102" s="6">
        <f t="shared" si="68"/>
        <v>0.61980218399033049</v>
      </c>
      <c r="V102" s="4">
        <f t="shared" si="69"/>
        <v>0.66995530517536328</v>
      </c>
      <c r="W102" s="4">
        <f t="shared" si="70"/>
        <v>0.95873765017589085</v>
      </c>
      <c r="X102" s="3">
        <f t="shared" si="71"/>
        <v>20.735719984794827</v>
      </c>
      <c r="Y102" s="8">
        <f t="shared" ref="Y102:Y108" si="79">X102*SIN(N102*PI()/180)</f>
        <v>3.8734467791393352</v>
      </c>
      <c r="Z102" s="3">
        <f t="shared" ref="Z102:Z108" si="80">X102*COS(N102*PI()/180)</f>
        <v>20.370726382164055</v>
      </c>
      <c r="AA102" s="3">
        <f t="shared" si="72"/>
        <v>7215.2935117694387</v>
      </c>
    </row>
    <row r="103" spans="1:28">
      <c r="A103" s="7">
        <f>A102</f>
        <v>490</v>
      </c>
      <c r="B103" s="3">
        <f>B102</f>
        <v>213.839527</v>
      </c>
      <c r="D103" s="1">
        <f t="shared" ref="D103:D108" si="81">D102+1</f>
        <v>35</v>
      </c>
      <c r="E103" s="2">
        <f t="shared" si="73"/>
        <v>10</v>
      </c>
      <c r="F103" s="2">
        <f t="shared" si="73"/>
        <v>10</v>
      </c>
      <c r="G103" s="2">
        <f t="shared" si="6"/>
        <v>7.0710678118654746</v>
      </c>
      <c r="H103" s="2">
        <f t="shared" si="74"/>
        <v>-128</v>
      </c>
      <c r="I103" s="2">
        <f t="shared" si="61"/>
        <v>55</v>
      </c>
      <c r="J103" s="20">
        <f t="shared" si="62"/>
        <v>-341.83952699999998</v>
      </c>
      <c r="K103" s="2">
        <f t="shared" si="75"/>
        <v>55</v>
      </c>
      <c r="L103" s="2">
        <f t="shared" si="63"/>
        <v>346.23584768129325</v>
      </c>
      <c r="M103" s="2">
        <f t="shared" si="76"/>
        <v>0.16089420811771718</v>
      </c>
      <c r="N103" s="2">
        <f t="shared" si="77"/>
        <v>9.140225430840335</v>
      </c>
      <c r="P103" s="4">
        <f t="shared" si="78"/>
        <v>0.96636282063257928</v>
      </c>
      <c r="Q103" s="4">
        <f t="shared" si="64"/>
        <v>1.7000000000000002</v>
      </c>
      <c r="R103" s="4">
        <f t="shared" si="65"/>
        <v>4.9099479773245022E-3</v>
      </c>
      <c r="S103" s="4">
        <f t="shared" si="66"/>
        <v>0.61667582932448461</v>
      </c>
      <c r="T103" s="2">
        <f t="shared" si="67"/>
        <v>346.20928200957252</v>
      </c>
      <c r="U103" s="6">
        <f t="shared" si="68"/>
        <v>0.61672314870178402</v>
      </c>
      <c r="V103" s="4">
        <f t="shared" si="69"/>
        <v>0.63819006229780051</v>
      </c>
      <c r="W103" s="4">
        <f t="shared" si="70"/>
        <v>0.95106807679210714</v>
      </c>
      <c r="X103" s="3">
        <f t="shared" si="71"/>
        <v>20.39758934467018</v>
      </c>
      <c r="Y103" s="8">
        <f t="shared" si="79"/>
        <v>3.2401827294022074</v>
      </c>
      <c r="Z103" s="3">
        <f t="shared" si="80"/>
        <v>20.138591483862175</v>
      </c>
      <c r="AA103" s="3">
        <f t="shared" si="72"/>
        <v>7062.3766374067945</v>
      </c>
    </row>
    <row r="104" spans="1:28">
      <c r="A104" s="7">
        <f t="shared" ref="A104:B108" si="82">A103</f>
        <v>490</v>
      </c>
      <c r="B104" s="3">
        <f t="shared" si="82"/>
        <v>213.839527</v>
      </c>
      <c r="D104" s="1">
        <f t="shared" si="81"/>
        <v>36</v>
      </c>
      <c r="E104" s="2">
        <f t="shared" si="73"/>
        <v>10</v>
      </c>
      <c r="F104" s="2">
        <f t="shared" si="73"/>
        <v>10</v>
      </c>
      <c r="G104" s="2">
        <f t="shared" si="6"/>
        <v>7.0710678118654746</v>
      </c>
      <c r="H104" s="2">
        <f t="shared" si="74"/>
        <v>-128</v>
      </c>
      <c r="I104" s="2">
        <f t="shared" si="61"/>
        <v>45</v>
      </c>
      <c r="J104" s="20">
        <f t="shared" si="62"/>
        <v>-341.83952699999998</v>
      </c>
      <c r="K104" s="2">
        <f t="shared" si="75"/>
        <v>45</v>
      </c>
      <c r="L104" s="2">
        <f t="shared" si="63"/>
        <v>344.78872113162828</v>
      </c>
      <c r="M104" s="2">
        <f t="shared" si="76"/>
        <v>0.13164071573267769</v>
      </c>
      <c r="N104" s="2">
        <f t="shared" si="77"/>
        <v>7.4993364493329935</v>
      </c>
      <c r="P104" s="4">
        <f t="shared" si="78"/>
        <v>1.016914499641854</v>
      </c>
      <c r="Q104" s="4">
        <f t="shared" si="64"/>
        <v>1.7000000000000002</v>
      </c>
      <c r="R104" s="4">
        <f t="shared" si="65"/>
        <v>4.9305557166152182E-3</v>
      </c>
      <c r="S104" s="4">
        <f t="shared" si="66"/>
        <v>0.61667582932448461</v>
      </c>
      <c r="T104" s="2">
        <f t="shared" si="67"/>
        <v>346.20928200957252</v>
      </c>
      <c r="U104" s="6">
        <f t="shared" si="68"/>
        <v>0.61414549405320795</v>
      </c>
      <c r="V104" s="4">
        <f t="shared" si="69"/>
        <v>0.60393031495716032</v>
      </c>
      <c r="W104" s="4">
        <f t="shared" si="70"/>
        <v>0.94192951901972077</v>
      </c>
      <c r="X104" s="3">
        <f t="shared" si="71"/>
        <v>20.043362575321662</v>
      </c>
      <c r="Y104" s="8">
        <f t="shared" si="79"/>
        <v>2.6159536568632165</v>
      </c>
      <c r="Z104" s="3">
        <f t="shared" si="80"/>
        <v>19.871919127023162</v>
      </c>
      <c r="AA104" s="3">
        <f t="shared" si="72"/>
        <v>6910.7253495226951</v>
      </c>
    </row>
    <row r="105" spans="1:28">
      <c r="A105" s="7">
        <f t="shared" si="82"/>
        <v>490</v>
      </c>
      <c r="B105" s="3">
        <f t="shared" si="82"/>
        <v>213.839527</v>
      </c>
      <c r="D105" s="1">
        <f t="shared" si="81"/>
        <v>37</v>
      </c>
      <c r="E105" s="2">
        <f t="shared" ref="E105:F108" si="83">E104</f>
        <v>10</v>
      </c>
      <c r="F105" s="2">
        <f t="shared" si="83"/>
        <v>10</v>
      </c>
      <c r="G105" s="2">
        <f t="shared" si="6"/>
        <v>7.0710678118654746</v>
      </c>
      <c r="H105" s="2">
        <f t="shared" si="74"/>
        <v>-128</v>
      </c>
      <c r="I105" s="2">
        <f t="shared" si="61"/>
        <v>35</v>
      </c>
      <c r="J105" s="20">
        <f t="shared" si="62"/>
        <v>-341.83952699999998</v>
      </c>
      <c r="K105" s="2">
        <f t="shared" si="75"/>
        <v>35</v>
      </c>
      <c r="L105" s="2">
        <f t="shared" si="63"/>
        <v>343.62663199988401</v>
      </c>
      <c r="M105" s="2">
        <f t="shared" si="76"/>
        <v>0.10238722334763821</v>
      </c>
      <c r="N105" s="2">
        <f t="shared" si="77"/>
        <v>5.8459844712179549</v>
      </c>
      <c r="P105" s="4">
        <f t="shared" si="78"/>
        <v>1.081083163849375</v>
      </c>
      <c r="Q105" s="4">
        <f t="shared" si="64"/>
        <v>1.7000000000000002</v>
      </c>
      <c r="R105" s="4">
        <f t="shared" si="65"/>
        <v>4.9472300505525833E-3</v>
      </c>
      <c r="S105" s="4">
        <f t="shared" si="66"/>
        <v>0.61667582932448461</v>
      </c>
      <c r="T105" s="2">
        <f t="shared" si="67"/>
        <v>346.20928200957252</v>
      </c>
      <c r="U105" s="6">
        <f t="shared" si="68"/>
        <v>0.61207555452152451</v>
      </c>
      <c r="V105" s="4">
        <f t="shared" si="69"/>
        <v>0.56616879717387192</v>
      </c>
      <c r="W105" s="4">
        <f t="shared" si="70"/>
        <v>0.93074392980343557</v>
      </c>
      <c r="X105" s="3">
        <f t="shared" si="71"/>
        <v>19.663667350239677</v>
      </c>
      <c r="Y105" s="8">
        <f t="shared" si="79"/>
        <v>2.0028376533359644</v>
      </c>
      <c r="Z105" s="3">
        <f t="shared" si="80"/>
        <v>19.561402173547314</v>
      </c>
      <c r="AA105" s="3">
        <f t="shared" si="72"/>
        <v>6756.9597843289439</v>
      </c>
    </row>
    <row r="106" spans="1:28">
      <c r="A106" s="7">
        <f t="shared" si="82"/>
        <v>490</v>
      </c>
      <c r="B106" s="3">
        <f t="shared" si="82"/>
        <v>213.839527</v>
      </c>
      <c r="D106" s="1">
        <f t="shared" si="81"/>
        <v>38</v>
      </c>
      <c r="E106" s="2">
        <f t="shared" si="83"/>
        <v>10</v>
      </c>
      <c r="F106" s="2">
        <f t="shared" si="83"/>
        <v>10</v>
      </c>
      <c r="G106" s="2">
        <f t="shared" si="6"/>
        <v>7.0710678118654746</v>
      </c>
      <c r="H106" s="2">
        <f t="shared" si="74"/>
        <v>-128</v>
      </c>
      <c r="I106" s="2">
        <f t="shared" si="61"/>
        <v>25</v>
      </c>
      <c r="J106" s="20">
        <f t="shared" si="62"/>
        <v>-341.83952699999998</v>
      </c>
      <c r="K106" s="2">
        <f t="shared" si="75"/>
        <v>25</v>
      </c>
      <c r="L106" s="2">
        <f t="shared" si="63"/>
        <v>342.7524795236115</v>
      </c>
      <c r="M106" s="2">
        <f t="shared" si="76"/>
        <v>7.3133730962598717E-2</v>
      </c>
      <c r="N106" s="2">
        <f t="shared" si="77"/>
        <v>4.1828074227985219</v>
      </c>
      <c r="P106" s="4">
        <f t="shared" si="78"/>
        <v>1.1667205727151617</v>
      </c>
      <c r="Q106" s="4">
        <f t="shared" si="64"/>
        <v>1.7000000000000002</v>
      </c>
      <c r="R106" s="4">
        <f t="shared" si="65"/>
        <v>4.9598474163128287E-3</v>
      </c>
      <c r="S106" s="4">
        <f t="shared" si="66"/>
        <v>0.61667582932448461</v>
      </c>
      <c r="T106" s="2">
        <f t="shared" si="67"/>
        <v>346.20928200957252</v>
      </c>
      <c r="U106" s="6">
        <f t="shared" si="68"/>
        <v>0.61051849429444927</v>
      </c>
      <c r="V106" s="4">
        <f t="shared" si="69"/>
        <v>0.52327738840986282</v>
      </c>
      <c r="W106" s="4">
        <f t="shared" si="70"/>
        <v>0.9165029133518493</v>
      </c>
      <c r="X106" s="3">
        <f t="shared" si="71"/>
        <v>19.24078504214522</v>
      </c>
      <c r="Y106" s="8">
        <f t="shared" si="79"/>
        <v>1.4034023232222714</v>
      </c>
      <c r="Z106" s="3">
        <f t="shared" si="80"/>
        <v>19.189535454440097</v>
      </c>
      <c r="AA106" s="3">
        <f t="shared" si="72"/>
        <v>6594.8267811760898</v>
      </c>
    </row>
    <row r="107" spans="1:28">
      <c r="A107" s="7">
        <f t="shared" si="82"/>
        <v>490</v>
      </c>
      <c r="B107" s="3">
        <f t="shared" si="82"/>
        <v>213.839527</v>
      </c>
      <c r="D107" s="1">
        <f t="shared" si="81"/>
        <v>39</v>
      </c>
      <c r="E107" s="2">
        <f t="shared" si="83"/>
        <v>10</v>
      </c>
      <c r="F107" s="2">
        <f t="shared" si="83"/>
        <v>10</v>
      </c>
      <c r="G107" s="2">
        <f t="shared" si="6"/>
        <v>7.0710678118654746</v>
      </c>
      <c r="H107" s="2">
        <f t="shared" si="74"/>
        <v>-128</v>
      </c>
      <c r="I107" s="2">
        <f t="shared" si="61"/>
        <v>15</v>
      </c>
      <c r="J107" s="20">
        <f t="shared" si="62"/>
        <v>-341.83952699999998</v>
      </c>
      <c r="K107" s="2">
        <f t="shared" si="75"/>
        <v>15</v>
      </c>
      <c r="L107" s="2">
        <f t="shared" si="63"/>
        <v>342.16847052231992</v>
      </c>
      <c r="M107" s="2">
        <f t="shared" si="76"/>
        <v>4.3880238577559232E-2</v>
      </c>
      <c r="N107" s="2">
        <f t="shared" si="77"/>
        <v>2.5125406899878446</v>
      </c>
      <c r="P107" s="4">
        <f t="shared" si="78"/>
        <v>1.2904213035120438</v>
      </c>
      <c r="Q107" s="4">
        <f t="shared" si="64"/>
        <v>1.7000000000000002</v>
      </c>
      <c r="R107" s="4">
        <f t="shared" si="65"/>
        <v>4.9683128238114738E-3</v>
      </c>
      <c r="S107" s="4">
        <f t="shared" si="66"/>
        <v>0.61667582932448461</v>
      </c>
      <c r="T107" s="2">
        <f t="shared" si="67"/>
        <v>346.20928200957252</v>
      </c>
      <c r="U107" s="6">
        <f t="shared" si="68"/>
        <v>0.60947824420896912</v>
      </c>
      <c r="V107" s="4">
        <f t="shared" si="69"/>
        <v>0.47230950275712086</v>
      </c>
      <c r="W107" s="4">
        <f t="shared" si="70"/>
        <v>0.8972194348536352</v>
      </c>
      <c r="X107" s="3">
        <f t="shared" si="71"/>
        <v>18.737841248014558</v>
      </c>
      <c r="Y107" s="8">
        <f t="shared" si="79"/>
        <v>0.82143050261518502</v>
      </c>
      <c r="Z107" s="3">
        <f t="shared" si="80"/>
        <v>18.71982763182314</v>
      </c>
      <c r="AA107" s="3">
        <f t="shared" si="72"/>
        <v>6411.4984807231795</v>
      </c>
      <c r="AB107" s="3"/>
    </row>
    <row r="108" spans="1:28">
      <c r="A108" s="7">
        <f t="shared" si="82"/>
        <v>490</v>
      </c>
      <c r="B108" s="3">
        <f t="shared" si="82"/>
        <v>213.839527</v>
      </c>
      <c r="D108" s="1">
        <f t="shared" si="81"/>
        <v>40</v>
      </c>
      <c r="E108" s="2">
        <f t="shared" si="83"/>
        <v>10</v>
      </c>
      <c r="F108" s="2">
        <f t="shared" si="83"/>
        <v>10</v>
      </c>
      <c r="G108" s="2">
        <f t="shared" si="6"/>
        <v>7.0710678118654746</v>
      </c>
      <c r="H108" s="2">
        <f t="shared" si="74"/>
        <v>-128</v>
      </c>
      <c r="I108" s="2">
        <f t="shared" si="61"/>
        <v>5</v>
      </c>
      <c r="J108" s="20">
        <f t="shared" si="62"/>
        <v>-341.83952699999998</v>
      </c>
      <c r="K108" s="2">
        <f t="shared" si="75"/>
        <v>5</v>
      </c>
      <c r="L108" s="2">
        <f t="shared" si="63"/>
        <v>341.8760919098961</v>
      </c>
      <c r="M108" s="2">
        <f t="shared" si="76"/>
        <v>1.4626746192519744E-2</v>
      </c>
      <c r="N108" s="2">
        <f t="shared" si="77"/>
        <v>0.83799106783706379</v>
      </c>
      <c r="P108" s="4">
        <f t="shared" si="78"/>
        <v>1.4968654294836667</v>
      </c>
      <c r="Q108" s="4">
        <f t="shared" si="64"/>
        <v>1.7000000000000002</v>
      </c>
      <c r="R108" s="4">
        <f t="shared" si="65"/>
        <v>4.9725618147292011E-3</v>
      </c>
      <c r="S108" s="4">
        <f t="shared" si="66"/>
        <v>0.61667582932448461</v>
      </c>
      <c r="T108" s="2">
        <f t="shared" si="67"/>
        <v>346.20928200957252</v>
      </c>
      <c r="U108" s="6">
        <f t="shared" si="68"/>
        <v>0.6089574527898407</v>
      </c>
      <c r="V108" s="4">
        <f t="shared" si="69"/>
        <v>0.40682177622332844</v>
      </c>
      <c r="W108" s="4">
        <f t="shared" si="70"/>
        <v>0.86807451870080987</v>
      </c>
      <c r="X108" s="3">
        <f t="shared" si="71"/>
        <v>18.062307740285689</v>
      </c>
      <c r="Y108" s="8">
        <f t="shared" si="79"/>
        <v>0.26416453457421263</v>
      </c>
      <c r="Z108" s="3">
        <f t="shared" si="80"/>
        <v>18.060375909804801</v>
      </c>
      <c r="AA108" s="3">
        <f t="shared" si="72"/>
        <v>6175.0711811227384</v>
      </c>
      <c r="AB108" s="3"/>
    </row>
    <row r="109" spans="1:28" hidden="1">
      <c r="A109" s="7"/>
      <c r="B109" s="3"/>
      <c r="D109" s="1"/>
      <c r="E109" s="2"/>
      <c r="F109" s="2"/>
      <c r="G109" s="2"/>
      <c r="H109" s="2"/>
      <c r="I109" s="2"/>
      <c r="J109" s="20"/>
      <c r="K109" s="2"/>
      <c r="L109" s="2"/>
      <c r="M109" s="2"/>
      <c r="N109" s="2"/>
      <c r="P109" s="4"/>
      <c r="Q109" s="4"/>
      <c r="R109" s="4"/>
      <c r="S109" s="4"/>
      <c r="T109" s="2"/>
      <c r="U109" s="6"/>
      <c r="V109" s="4"/>
      <c r="W109" s="4"/>
      <c r="X109" s="3"/>
      <c r="Y109" s="8"/>
      <c r="Z109" s="3"/>
      <c r="AA109" s="3"/>
      <c r="AB109" s="3"/>
    </row>
    <row r="110" spans="1:28" hidden="1">
      <c r="A110" s="7"/>
      <c r="B110" s="3"/>
      <c r="D110" s="1"/>
      <c r="E110" s="2"/>
      <c r="F110" s="2"/>
      <c r="G110" s="2"/>
      <c r="H110" s="2"/>
      <c r="I110" s="2"/>
      <c r="J110" s="20"/>
      <c r="K110" s="2"/>
      <c r="L110" s="2"/>
      <c r="M110" s="2"/>
      <c r="N110" s="2"/>
      <c r="P110" s="4"/>
      <c r="Q110" s="4"/>
      <c r="R110" s="4"/>
      <c r="S110" s="4"/>
      <c r="T110" s="2"/>
      <c r="U110" s="6"/>
      <c r="V110" s="4"/>
      <c r="W110" s="4"/>
      <c r="X110" s="3"/>
      <c r="Y110" s="8"/>
      <c r="Z110" s="3"/>
      <c r="AA110" s="3"/>
      <c r="AB110" s="3"/>
    </row>
    <row r="111" spans="1:28" hidden="1">
      <c r="A111" s="7"/>
      <c r="B111" s="3"/>
      <c r="D111" s="1"/>
      <c r="E111" s="2"/>
      <c r="F111" s="2"/>
      <c r="G111" s="2"/>
      <c r="H111" s="2"/>
      <c r="I111" s="2"/>
      <c r="J111" s="20"/>
      <c r="K111" s="2"/>
      <c r="L111" s="2"/>
      <c r="M111" s="2"/>
      <c r="N111" s="2"/>
      <c r="P111" s="4"/>
      <c r="Q111" s="4"/>
      <c r="R111" s="4"/>
      <c r="S111" s="4"/>
      <c r="T111" s="2"/>
      <c r="U111" s="6"/>
      <c r="V111" s="4"/>
      <c r="W111" s="4"/>
      <c r="X111" s="3"/>
      <c r="Y111" s="8"/>
      <c r="Z111" s="3"/>
      <c r="AA111" s="3"/>
      <c r="AB111" s="3"/>
    </row>
    <row r="112" spans="1:28" hidden="1">
      <c r="A112" s="7"/>
      <c r="B112" s="3"/>
      <c r="D112" s="1"/>
      <c r="E112" s="2"/>
      <c r="F112" s="2"/>
      <c r="G112" s="2"/>
      <c r="H112" s="2"/>
      <c r="I112" s="2"/>
      <c r="J112" s="20"/>
      <c r="K112" s="2"/>
      <c r="L112" s="2"/>
      <c r="M112" s="2"/>
      <c r="N112" s="2"/>
      <c r="P112" s="4"/>
      <c r="Q112" s="4"/>
      <c r="R112" s="4"/>
      <c r="S112" s="4"/>
      <c r="T112" s="2"/>
      <c r="U112" s="6"/>
      <c r="V112" s="4"/>
      <c r="W112" s="4"/>
      <c r="X112" s="3"/>
      <c r="Y112" s="8"/>
      <c r="Z112" s="3"/>
      <c r="AA112" s="3"/>
      <c r="AB112" s="3"/>
    </row>
    <row r="113" spans="1:28" hidden="1">
      <c r="A113" s="7"/>
      <c r="B113" s="3"/>
      <c r="D113" s="1"/>
      <c r="E113" s="2"/>
      <c r="F113" s="2"/>
      <c r="G113" s="2"/>
      <c r="H113" s="2"/>
      <c r="I113" s="2"/>
      <c r="J113" s="20"/>
      <c r="K113" s="2"/>
      <c r="L113" s="2"/>
      <c r="M113" s="2"/>
      <c r="N113" s="2"/>
      <c r="P113" s="4"/>
      <c r="Q113" s="4"/>
      <c r="R113" s="4"/>
      <c r="S113" s="4"/>
      <c r="T113" s="2"/>
      <c r="U113" s="6"/>
      <c r="V113" s="4"/>
      <c r="W113" s="4"/>
      <c r="X113" s="3"/>
      <c r="Y113" s="8"/>
      <c r="Z113" s="3"/>
      <c r="AA113" s="3"/>
      <c r="AB113" s="3"/>
    </row>
    <row r="114" spans="1:28" hidden="1">
      <c r="A114" s="7"/>
      <c r="B114" s="3"/>
      <c r="D114" s="1"/>
      <c r="E114" s="2"/>
      <c r="F114" s="2"/>
      <c r="G114" s="2"/>
      <c r="H114" s="2"/>
      <c r="I114" s="2"/>
      <c r="J114" s="20"/>
      <c r="K114" s="2"/>
      <c r="L114" s="2"/>
      <c r="M114" s="2"/>
      <c r="N114" s="2"/>
      <c r="P114" s="4"/>
      <c r="Q114" s="4"/>
      <c r="R114" s="4"/>
      <c r="S114" s="4"/>
      <c r="T114" s="2"/>
      <c r="U114" s="6"/>
      <c r="V114" s="4"/>
      <c r="W114" s="4"/>
      <c r="X114" s="3"/>
      <c r="Y114" s="8"/>
      <c r="Z114" s="3"/>
      <c r="AA114" s="3"/>
      <c r="AB114" s="3"/>
    </row>
    <row r="115" spans="1:28" hidden="1">
      <c r="A115" s="7"/>
      <c r="B115" s="3"/>
      <c r="D115" s="1"/>
      <c r="E115" s="2"/>
      <c r="F115" s="2"/>
      <c r="G115" s="2"/>
      <c r="H115" s="2"/>
      <c r="I115" s="2"/>
      <c r="J115" s="20"/>
      <c r="K115" s="2"/>
      <c r="L115" s="2"/>
      <c r="M115" s="2"/>
      <c r="N115" s="2"/>
      <c r="P115" s="4"/>
      <c r="Q115" s="4"/>
      <c r="R115" s="4"/>
      <c r="S115" s="4"/>
      <c r="T115" s="2"/>
      <c r="U115" s="6"/>
      <c r="V115" s="4"/>
      <c r="W115" s="4"/>
      <c r="X115" s="3"/>
      <c r="Y115" s="8"/>
      <c r="Z115" s="3"/>
      <c r="AA115" s="3"/>
      <c r="AB115" s="3"/>
    </row>
    <row r="116" spans="1:28" hidden="1">
      <c r="A116" s="7"/>
      <c r="B116" s="3"/>
      <c r="D116" s="1"/>
      <c r="E116" s="2"/>
      <c r="F116" s="2"/>
      <c r="G116" s="2"/>
      <c r="H116" s="2"/>
      <c r="I116" s="2"/>
      <c r="J116" s="20"/>
      <c r="K116" s="2"/>
      <c r="L116" s="2"/>
      <c r="M116" s="2"/>
      <c r="N116" s="2"/>
      <c r="P116" s="4"/>
      <c r="Q116" s="4"/>
      <c r="R116" s="4"/>
      <c r="S116" s="4"/>
      <c r="T116" s="2"/>
      <c r="U116" s="6"/>
      <c r="V116" s="4"/>
      <c r="W116" s="4"/>
      <c r="X116" s="3"/>
      <c r="Y116" s="8"/>
      <c r="Z116" s="3"/>
      <c r="AA116" s="3"/>
      <c r="AB116" s="3"/>
    </row>
    <row r="117" spans="1:28" hidden="1">
      <c r="A117" s="7"/>
      <c r="B117" s="3"/>
      <c r="D117" s="1"/>
      <c r="E117" s="2"/>
      <c r="F117" s="2"/>
      <c r="G117" s="2"/>
      <c r="H117" s="2"/>
      <c r="I117" s="2"/>
      <c r="J117" s="20"/>
      <c r="K117" s="2"/>
      <c r="L117" s="2"/>
      <c r="M117" s="2"/>
      <c r="N117" s="2"/>
      <c r="P117" s="4"/>
      <c r="Q117" s="4"/>
      <c r="R117" s="4"/>
      <c r="S117" s="4"/>
      <c r="T117" s="2"/>
      <c r="U117" s="6"/>
      <c r="V117" s="4"/>
      <c r="W117" s="4"/>
      <c r="X117" s="3"/>
      <c r="Y117" s="8"/>
      <c r="Z117" s="3"/>
      <c r="AA117" s="3"/>
      <c r="AB117" s="3"/>
    </row>
    <row r="118" spans="1:28" hidden="1">
      <c r="A118" s="7"/>
      <c r="B118" s="3"/>
      <c r="D118" s="1"/>
      <c r="E118" s="2"/>
      <c r="F118" s="2"/>
      <c r="G118" s="2"/>
      <c r="H118" s="2"/>
      <c r="I118" s="2"/>
      <c r="J118" s="20"/>
      <c r="K118" s="2"/>
      <c r="L118" s="2"/>
      <c r="M118" s="2"/>
      <c r="N118" s="2"/>
      <c r="P118" s="4"/>
      <c r="Q118" s="4"/>
      <c r="R118" s="4"/>
      <c r="S118" s="4"/>
      <c r="T118" s="2"/>
      <c r="U118" s="6"/>
      <c r="V118" s="4"/>
      <c r="W118" s="4"/>
      <c r="X118" s="3"/>
      <c r="Y118" s="8"/>
      <c r="Z118" s="3"/>
      <c r="AA118" s="3"/>
      <c r="AB118" s="3"/>
    </row>
    <row r="119" spans="1:28" hidden="1">
      <c r="A119" s="7"/>
      <c r="B119" s="3"/>
      <c r="D119" s="1"/>
      <c r="E119" s="2"/>
      <c r="F119" s="2"/>
      <c r="G119" s="2"/>
      <c r="H119" s="2"/>
      <c r="I119" s="2"/>
      <c r="J119" s="20"/>
      <c r="K119" s="2"/>
      <c r="L119" s="2"/>
      <c r="M119" s="2"/>
      <c r="N119" s="2"/>
      <c r="P119" s="4"/>
      <c r="Q119" s="4"/>
      <c r="R119" s="4"/>
      <c r="S119" s="4"/>
      <c r="T119" s="2"/>
      <c r="U119" s="6"/>
      <c r="V119" s="4"/>
      <c r="W119" s="4"/>
      <c r="X119" s="3"/>
      <c r="Y119" s="8"/>
      <c r="Z119" s="3"/>
      <c r="AA119" s="3"/>
      <c r="AB119" s="3"/>
    </row>
    <row r="120" spans="1:28" hidden="1">
      <c r="A120" s="7"/>
      <c r="B120" s="3"/>
      <c r="D120" s="1"/>
      <c r="E120" s="2"/>
      <c r="F120" s="2"/>
      <c r="G120" s="2"/>
      <c r="H120" s="2"/>
      <c r="I120" s="2"/>
      <c r="J120" s="20"/>
      <c r="K120" s="2"/>
      <c r="L120" s="2"/>
      <c r="M120" s="2"/>
      <c r="N120" s="2"/>
      <c r="P120" s="4"/>
      <c r="Q120" s="4"/>
      <c r="R120" s="4"/>
      <c r="S120" s="4"/>
      <c r="T120" s="2"/>
      <c r="U120" s="6"/>
      <c r="V120" s="4"/>
      <c r="W120" s="4"/>
      <c r="X120" s="3"/>
      <c r="Y120" s="8"/>
      <c r="Z120" s="3"/>
      <c r="AA120" s="3"/>
      <c r="AB120" s="3"/>
    </row>
    <row r="121" spans="1:28" hidden="1">
      <c r="A121" s="7"/>
      <c r="B121" s="3"/>
      <c r="D121" s="1"/>
      <c r="E121" s="2"/>
      <c r="F121" s="2"/>
      <c r="G121" s="2"/>
      <c r="H121" s="2"/>
      <c r="I121" s="2"/>
      <c r="J121" s="20"/>
      <c r="K121" s="2"/>
      <c r="L121" s="2"/>
      <c r="M121" s="2"/>
      <c r="N121" s="2"/>
      <c r="P121" s="4"/>
      <c r="Q121" s="4"/>
      <c r="R121" s="4"/>
      <c r="S121" s="4"/>
      <c r="T121" s="2"/>
      <c r="U121" s="6"/>
      <c r="V121" s="4"/>
      <c r="W121" s="4"/>
      <c r="X121" s="3"/>
      <c r="Y121" s="8"/>
      <c r="Z121" s="3"/>
      <c r="AA121" s="3"/>
      <c r="AB121" s="3"/>
    </row>
    <row r="122" spans="1:28" hidden="1">
      <c r="A122" s="7"/>
      <c r="B122" s="3"/>
      <c r="D122" s="1"/>
      <c r="E122" s="2"/>
      <c r="F122" s="2"/>
      <c r="G122" s="2"/>
      <c r="H122" s="2"/>
      <c r="I122" s="2"/>
      <c r="J122" s="20"/>
      <c r="K122" s="2"/>
      <c r="L122" s="2"/>
      <c r="M122" s="2"/>
      <c r="N122" s="2"/>
      <c r="P122" s="4"/>
      <c r="Q122" s="4"/>
      <c r="R122" s="4"/>
      <c r="S122" s="4"/>
      <c r="T122" s="2"/>
      <c r="U122" s="6"/>
      <c r="V122" s="4"/>
      <c r="W122" s="4"/>
      <c r="X122" s="3"/>
      <c r="Y122" s="8"/>
      <c r="Z122" s="3"/>
      <c r="AA122" s="3"/>
      <c r="AB122" s="3"/>
    </row>
    <row r="123" spans="1:28" hidden="1">
      <c r="A123" s="7"/>
      <c r="B123" s="3"/>
      <c r="D123" s="1"/>
      <c r="E123" s="2"/>
      <c r="F123" s="2"/>
      <c r="G123" s="2"/>
      <c r="H123" s="2"/>
      <c r="I123" s="2"/>
      <c r="J123" s="20"/>
      <c r="K123" s="2"/>
      <c r="L123" s="2"/>
      <c r="M123" s="2"/>
      <c r="N123" s="2"/>
      <c r="P123" s="4"/>
      <c r="Q123" s="4"/>
      <c r="R123" s="4"/>
      <c r="S123" s="4"/>
      <c r="T123" s="2"/>
      <c r="U123" s="6"/>
      <c r="V123" s="4"/>
      <c r="W123" s="4"/>
      <c r="X123" s="3"/>
      <c r="Y123" s="8"/>
      <c r="Z123" s="3"/>
      <c r="AA123" s="3"/>
      <c r="AB123" s="3"/>
    </row>
    <row r="124" spans="1:28" hidden="1">
      <c r="A124" s="7"/>
      <c r="B124" s="3"/>
      <c r="D124" s="1"/>
      <c r="E124" s="2"/>
      <c r="F124" s="2"/>
      <c r="G124" s="2"/>
      <c r="H124" s="2"/>
      <c r="I124" s="2"/>
      <c r="J124" s="20"/>
      <c r="K124" s="2"/>
      <c r="L124" s="2"/>
      <c r="M124" s="2"/>
      <c r="N124" s="2"/>
      <c r="P124" s="4"/>
      <c r="Q124" s="4"/>
      <c r="R124" s="4"/>
      <c r="S124" s="4"/>
      <c r="T124" s="2"/>
      <c r="U124" s="6"/>
      <c r="V124" s="4"/>
      <c r="W124" s="4"/>
      <c r="X124" s="3"/>
      <c r="Y124" s="8"/>
      <c r="Z124" s="3"/>
      <c r="AA124" s="3"/>
      <c r="AB124" s="3"/>
    </row>
    <row r="125" spans="1:28" hidden="1">
      <c r="A125" s="7"/>
      <c r="B125" s="3"/>
      <c r="D125" s="1"/>
      <c r="E125" s="2"/>
      <c r="F125" s="2"/>
      <c r="G125" s="2"/>
      <c r="H125" s="2"/>
      <c r="I125" s="2"/>
      <c r="J125" s="20"/>
      <c r="K125" s="2"/>
      <c r="L125" s="2"/>
      <c r="M125" s="2"/>
      <c r="N125" s="2"/>
      <c r="P125" s="4"/>
      <c r="Q125" s="4"/>
      <c r="R125" s="4"/>
      <c r="S125" s="4"/>
      <c r="T125" s="2"/>
      <c r="U125" s="6"/>
      <c r="V125" s="4"/>
      <c r="W125" s="4"/>
      <c r="X125" s="3"/>
      <c r="Y125" s="8"/>
      <c r="Z125" s="3"/>
      <c r="AA125" s="3"/>
      <c r="AB125" s="3"/>
    </row>
    <row r="126" spans="1:28" hidden="1">
      <c r="A126" s="7"/>
      <c r="B126" s="3"/>
      <c r="D126" s="1"/>
      <c r="E126" s="2"/>
      <c r="F126" s="2"/>
      <c r="G126" s="2"/>
      <c r="H126" s="2"/>
      <c r="I126" s="2"/>
      <c r="J126" s="20"/>
      <c r="K126" s="2"/>
      <c r="L126" s="2"/>
      <c r="M126" s="2"/>
      <c r="N126" s="2"/>
      <c r="P126" s="4"/>
      <c r="Q126" s="4"/>
      <c r="R126" s="4"/>
      <c r="S126" s="4"/>
      <c r="T126" s="2"/>
      <c r="U126" s="6"/>
      <c r="V126" s="4"/>
      <c r="W126" s="4"/>
      <c r="X126" s="3"/>
      <c r="Y126" s="8"/>
      <c r="Z126" s="3"/>
      <c r="AA126" s="3"/>
      <c r="AB126" s="3"/>
    </row>
    <row r="127" spans="1:28" hidden="1">
      <c r="A127" s="7"/>
      <c r="B127" s="3"/>
      <c r="D127" s="1"/>
      <c r="E127" s="2"/>
      <c r="F127" s="2"/>
      <c r="G127" s="2"/>
      <c r="H127" s="2"/>
      <c r="I127" s="2"/>
      <c r="J127" s="20"/>
      <c r="K127" s="2"/>
      <c r="L127" s="2"/>
      <c r="M127" s="2"/>
      <c r="N127" s="2"/>
      <c r="P127" s="4"/>
      <c r="Q127" s="4"/>
      <c r="R127" s="4"/>
      <c r="S127" s="4"/>
      <c r="T127" s="2"/>
      <c r="U127" s="6"/>
      <c r="V127" s="4"/>
      <c r="W127" s="4"/>
      <c r="X127" s="3"/>
      <c r="Y127" s="8"/>
      <c r="Z127" s="3"/>
      <c r="AA127" s="3"/>
      <c r="AB127" s="3"/>
    </row>
    <row r="128" spans="1:28" hidden="1">
      <c r="A128" s="7"/>
      <c r="B128" s="3"/>
      <c r="D128" s="1"/>
      <c r="E128" s="2"/>
      <c r="F128" s="2"/>
      <c r="G128" s="2"/>
      <c r="H128" s="2"/>
      <c r="I128" s="2"/>
      <c r="J128" s="20"/>
      <c r="K128" s="2"/>
      <c r="L128" s="2"/>
      <c r="M128" s="2"/>
      <c r="N128" s="2"/>
      <c r="P128" s="4"/>
      <c r="Q128" s="4"/>
      <c r="R128" s="4"/>
      <c r="S128" s="4"/>
      <c r="T128" s="2"/>
      <c r="U128" s="6"/>
      <c r="V128" s="4"/>
      <c r="W128" s="4"/>
      <c r="X128" s="3"/>
      <c r="Y128" s="8"/>
      <c r="Z128" s="3"/>
      <c r="AA128" s="3"/>
      <c r="AB128" s="3"/>
    </row>
    <row r="129" spans="1:29" hidden="1">
      <c r="A129" s="7"/>
      <c r="B129" s="3"/>
      <c r="D129" s="1"/>
      <c r="E129" s="2"/>
      <c r="F129" s="2"/>
      <c r="G129" s="2"/>
      <c r="H129" s="2"/>
      <c r="I129" s="2"/>
      <c r="J129" s="20"/>
      <c r="K129" s="2"/>
      <c r="L129" s="2"/>
      <c r="M129" s="2"/>
      <c r="N129" s="2"/>
      <c r="P129" s="4"/>
      <c r="Q129" s="4"/>
      <c r="R129" s="4"/>
      <c r="S129" s="4"/>
      <c r="T129" s="2"/>
      <c r="U129" s="6"/>
      <c r="V129" s="4"/>
      <c r="W129" s="4"/>
      <c r="X129" s="3"/>
      <c r="Y129" s="8"/>
      <c r="Z129" s="3"/>
      <c r="AA129" s="3"/>
      <c r="AB129" s="3"/>
    </row>
    <row r="130" spans="1:29" hidden="1">
      <c r="A130" s="7"/>
      <c r="B130" s="3"/>
      <c r="D130" s="1"/>
      <c r="E130" s="2"/>
      <c r="F130" s="2"/>
      <c r="G130" s="2"/>
      <c r="H130" s="2"/>
      <c r="I130" s="2"/>
      <c r="J130" s="20"/>
      <c r="K130" s="2"/>
      <c r="L130" s="2"/>
      <c r="M130" s="2"/>
      <c r="N130" s="2"/>
      <c r="P130" s="4"/>
      <c r="Q130" s="4"/>
      <c r="R130" s="4"/>
      <c r="S130" s="4"/>
      <c r="T130" s="2"/>
      <c r="U130" s="6"/>
      <c r="V130" s="4"/>
      <c r="W130" s="4"/>
      <c r="X130" s="3"/>
      <c r="Y130" s="8"/>
      <c r="Z130" s="3"/>
      <c r="AA130" s="3"/>
      <c r="AB130" s="3"/>
    </row>
    <row r="131" spans="1:29" hidden="1">
      <c r="A131" s="7"/>
      <c r="B131" s="3"/>
      <c r="D131" s="1"/>
      <c r="E131" s="2"/>
      <c r="F131" s="2"/>
      <c r="G131" s="2"/>
      <c r="H131" s="2"/>
      <c r="I131" s="2"/>
      <c r="J131" s="20"/>
      <c r="K131" s="2"/>
      <c r="L131" s="2"/>
      <c r="M131" s="2"/>
      <c r="N131" s="2"/>
      <c r="P131" s="4"/>
      <c r="Q131" s="4"/>
      <c r="R131" s="4"/>
      <c r="S131" s="4"/>
      <c r="T131" s="2"/>
      <c r="U131" s="6"/>
      <c r="V131" s="4"/>
      <c r="W131" s="4"/>
      <c r="X131" s="3"/>
      <c r="Y131" s="8"/>
      <c r="Z131" s="3"/>
      <c r="AA131" s="3"/>
      <c r="AB131" s="3"/>
    </row>
    <row r="132" spans="1:29" hidden="1">
      <c r="A132" s="7"/>
      <c r="B132" s="3"/>
      <c r="D132" s="1"/>
      <c r="E132" s="2"/>
      <c r="F132" s="2"/>
      <c r="G132" s="2"/>
      <c r="H132" s="2"/>
      <c r="I132" s="2"/>
      <c r="J132" s="20"/>
      <c r="K132" s="2"/>
      <c r="L132" s="2"/>
      <c r="M132" s="2"/>
      <c r="N132" s="2"/>
      <c r="P132" s="4"/>
      <c r="Q132" s="4"/>
      <c r="R132" s="4"/>
      <c r="S132" s="4"/>
      <c r="T132" s="2"/>
      <c r="U132" s="6"/>
      <c r="V132" s="4"/>
      <c r="W132" s="4"/>
      <c r="X132" s="3"/>
      <c r="Y132" s="8"/>
      <c r="Z132" s="3"/>
      <c r="AA132" s="3"/>
      <c r="AB132" s="3"/>
    </row>
    <row r="133" spans="1:29" hidden="1">
      <c r="A133" s="7"/>
      <c r="B133" s="3"/>
      <c r="D133" s="1"/>
      <c r="E133" s="2"/>
      <c r="F133" s="2"/>
      <c r="G133" s="2"/>
      <c r="H133" s="2"/>
      <c r="I133" s="2"/>
      <c r="J133" s="20"/>
      <c r="K133" s="2"/>
      <c r="L133" s="2"/>
      <c r="M133" s="2"/>
      <c r="N133" s="2"/>
      <c r="P133" s="4"/>
      <c r="Q133" s="4"/>
      <c r="R133" s="4"/>
      <c r="S133" s="4"/>
      <c r="T133" s="2"/>
      <c r="U133" s="6"/>
      <c r="V133" s="4"/>
      <c r="W133" s="4"/>
      <c r="X133" s="3"/>
      <c r="Y133" s="8"/>
      <c r="Z133" s="3"/>
      <c r="AA133" s="3"/>
      <c r="AB133" s="3"/>
    </row>
    <row r="134" spans="1:29" hidden="1">
      <c r="A134" s="7"/>
      <c r="B134" s="3"/>
      <c r="D134" s="1"/>
      <c r="E134" s="2"/>
      <c r="F134" s="2"/>
      <c r="G134" s="2"/>
      <c r="H134" s="2"/>
      <c r="I134" s="2"/>
      <c r="J134" s="20"/>
      <c r="K134" s="2"/>
      <c r="L134" s="2"/>
      <c r="M134" s="2"/>
      <c r="N134" s="2"/>
      <c r="P134" s="4"/>
      <c r="Q134" s="4"/>
      <c r="R134" s="4"/>
      <c r="S134" s="4"/>
      <c r="T134" s="2"/>
      <c r="U134" s="6"/>
      <c r="V134" s="4"/>
      <c r="W134" s="4"/>
      <c r="X134" s="3"/>
      <c r="Y134" s="8"/>
      <c r="Z134" s="3"/>
      <c r="AA134" s="3"/>
      <c r="AB134" s="3"/>
    </row>
    <row r="135" spans="1:29" hidden="1">
      <c r="A135" s="7"/>
      <c r="B135" s="3"/>
      <c r="D135" s="1"/>
      <c r="E135" s="2"/>
      <c r="F135" s="2"/>
      <c r="G135" s="2"/>
      <c r="H135" s="2"/>
      <c r="I135" s="2"/>
      <c r="J135" s="20"/>
      <c r="K135" s="2"/>
      <c r="L135" s="2"/>
      <c r="M135" s="2"/>
      <c r="N135" s="2"/>
      <c r="P135" s="4"/>
      <c r="Q135" s="4"/>
      <c r="R135" s="4"/>
      <c r="S135" s="4"/>
      <c r="T135" s="2"/>
      <c r="U135" s="6"/>
      <c r="V135" s="4"/>
      <c r="W135" s="4"/>
      <c r="X135" s="3"/>
      <c r="Y135" s="8"/>
      <c r="Z135" s="3"/>
      <c r="AA135" s="3"/>
      <c r="AB135" s="3"/>
    </row>
    <row r="136" spans="1:29" hidden="1">
      <c r="A136" s="7"/>
      <c r="B136" s="3"/>
      <c r="D136" s="1"/>
      <c r="E136" s="2"/>
      <c r="F136" s="2"/>
      <c r="G136" s="2"/>
      <c r="H136" s="2"/>
      <c r="I136" s="2"/>
      <c r="J136" s="20"/>
      <c r="K136" s="2"/>
      <c r="L136" s="2"/>
      <c r="M136" s="2"/>
      <c r="N136" s="2"/>
      <c r="P136" s="4"/>
      <c r="Q136" s="4"/>
      <c r="R136" s="4"/>
      <c r="S136" s="4"/>
      <c r="T136" s="2"/>
      <c r="U136" s="6"/>
      <c r="V136" s="4"/>
      <c r="W136" s="4"/>
      <c r="X136" s="3"/>
      <c r="Y136" s="8"/>
      <c r="Z136" s="3"/>
      <c r="AA136" s="3"/>
      <c r="AB136" s="3"/>
    </row>
    <row r="137" spans="1:29" hidden="1">
      <c r="A137" s="7"/>
      <c r="B137" s="3"/>
      <c r="D137" s="1"/>
      <c r="E137" s="2"/>
      <c r="F137" s="2"/>
      <c r="G137" s="2"/>
      <c r="H137" s="2"/>
      <c r="I137" s="2"/>
      <c r="J137" s="20"/>
      <c r="K137" s="2"/>
      <c r="L137" s="2"/>
      <c r="M137" s="2"/>
      <c r="N137" s="2"/>
      <c r="P137" s="4"/>
      <c r="Q137" s="4"/>
      <c r="R137" s="4"/>
      <c r="S137" s="4"/>
      <c r="T137" s="2"/>
      <c r="U137" s="6"/>
      <c r="V137" s="4"/>
      <c r="W137" s="4"/>
      <c r="X137" s="3"/>
      <c r="Y137" s="8"/>
      <c r="Z137" s="3"/>
      <c r="AA137" s="3"/>
      <c r="AB137" s="3"/>
    </row>
    <row r="138" spans="1:29" hidden="1">
      <c r="A138" s="7"/>
      <c r="B138" s="3"/>
      <c r="D138" s="1"/>
      <c r="E138" s="2"/>
      <c r="F138" s="2"/>
      <c r="G138" s="2"/>
      <c r="H138" s="2"/>
      <c r="I138" s="2"/>
      <c r="J138" s="20"/>
      <c r="K138" s="2"/>
      <c r="L138" s="2"/>
      <c r="M138" s="2"/>
      <c r="N138" s="2"/>
      <c r="P138" s="4"/>
      <c r="Q138" s="4"/>
      <c r="R138" s="4"/>
      <c r="S138" s="4"/>
      <c r="T138" s="2"/>
      <c r="U138" s="6"/>
      <c r="V138" s="4"/>
      <c r="W138" s="4"/>
      <c r="X138" s="3"/>
      <c r="Y138" s="8"/>
      <c r="Z138" s="3"/>
      <c r="AA138" s="3"/>
      <c r="AB138" s="3"/>
    </row>
    <row r="139" spans="1:29" hidden="1">
      <c r="A139" s="7"/>
      <c r="B139" s="3"/>
      <c r="D139" s="1"/>
      <c r="E139" s="2"/>
      <c r="F139" s="2"/>
      <c r="G139" s="2"/>
      <c r="H139" s="2"/>
      <c r="I139" s="2"/>
      <c r="J139" s="20"/>
      <c r="K139" s="2"/>
      <c r="L139" s="2"/>
      <c r="M139" s="2"/>
      <c r="N139" s="2"/>
      <c r="P139" s="4"/>
      <c r="Q139" s="4"/>
      <c r="R139" s="4"/>
      <c r="S139" s="4"/>
      <c r="T139" s="2"/>
      <c r="U139" s="6"/>
      <c r="V139" s="4"/>
      <c r="W139" s="4"/>
      <c r="X139" s="3"/>
      <c r="Y139" s="8"/>
      <c r="Z139" s="3"/>
      <c r="AA139" s="3"/>
      <c r="AB139" s="3"/>
    </row>
    <row r="140" spans="1:29" hidden="1">
      <c r="A140" s="7"/>
      <c r="B140" s="3"/>
      <c r="D140" s="1"/>
      <c r="E140" s="2"/>
      <c r="F140" s="2"/>
      <c r="G140" s="2"/>
      <c r="H140" s="2"/>
      <c r="I140" s="2"/>
      <c r="J140" s="20"/>
      <c r="K140" s="2"/>
      <c r="L140" s="2"/>
      <c r="M140" s="2"/>
      <c r="N140" s="2"/>
      <c r="P140" s="4"/>
      <c r="Q140" s="4"/>
      <c r="R140" s="4"/>
      <c r="S140" s="4"/>
      <c r="T140" s="2"/>
      <c r="U140" s="6"/>
      <c r="V140" s="4"/>
      <c r="W140" s="4"/>
      <c r="X140" s="3"/>
      <c r="Y140" s="8"/>
      <c r="Z140" s="3"/>
      <c r="AA140" s="3"/>
      <c r="AB140" s="3"/>
    </row>
    <row r="141" spans="1:29" hidden="1">
      <c r="A141" s="7"/>
      <c r="B141" s="3"/>
      <c r="D141" s="1"/>
      <c r="E141" s="2"/>
      <c r="F141" s="2"/>
      <c r="G141" s="2"/>
      <c r="H141" s="2"/>
      <c r="I141" s="2"/>
      <c r="J141" s="20"/>
      <c r="K141" s="2"/>
      <c r="L141" s="2"/>
      <c r="M141" s="2"/>
      <c r="N141" s="2"/>
      <c r="P141" s="4"/>
      <c r="Q141" s="4"/>
      <c r="R141" s="4"/>
      <c r="S141" s="4"/>
      <c r="T141" s="2"/>
      <c r="U141" s="6"/>
      <c r="V141" s="4"/>
      <c r="W141" s="4"/>
      <c r="X141" s="3"/>
      <c r="Y141" s="8"/>
      <c r="Z141" s="3"/>
      <c r="AA141" s="3"/>
      <c r="AB141" s="3"/>
    </row>
    <row r="142" spans="1:29" hidden="1">
      <c r="A142" s="7"/>
      <c r="B142" s="3"/>
      <c r="D142" s="1"/>
      <c r="E142" s="2"/>
      <c r="F142" s="2"/>
      <c r="G142" s="2"/>
      <c r="H142" s="2"/>
      <c r="I142" s="2"/>
      <c r="J142" s="20"/>
      <c r="K142" s="2"/>
      <c r="L142" s="2"/>
      <c r="M142" s="2"/>
      <c r="N142" s="2"/>
      <c r="P142" s="4"/>
      <c r="Q142" s="4"/>
      <c r="R142" s="4"/>
      <c r="S142" s="4"/>
      <c r="T142" s="2"/>
      <c r="U142" s="6"/>
      <c r="V142" s="4"/>
      <c r="W142" s="4"/>
      <c r="X142" s="3"/>
      <c r="Y142" s="8"/>
      <c r="Z142" s="3"/>
      <c r="AA142" s="3"/>
      <c r="AB142" s="3"/>
    </row>
    <row r="143" spans="1:29" hidden="1">
      <c r="A143" s="7"/>
      <c r="B143" s="3"/>
      <c r="D143" s="1"/>
      <c r="E143" s="2"/>
      <c r="F143" s="2"/>
      <c r="G143" s="2"/>
      <c r="H143" s="2"/>
      <c r="I143" s="2"/>
      <c r="J143" s="20"/>
      <c r="K143" s="2"/>
      <c r="L143" s="2"/>
      <c r="M143" s="2"/>
      <c r="N143" s="2"/>
      <c r="P143" s="4"/>
      <c r="Q143" s="4"/>
      <c r="R143" s="4"/>
      <c r="S143" s="4"/>
      <c r="T143" s="2"/>
      <c r="U143" s="6"/>
      <c r="V143" s="4"/>
      <c r="W143" s="4"/>
      <c r="X143" s="3"/>
      <c r="Y143" s="8"/>
      <c r="Z143" s="3"/>
      <c r="AA143" s="3"/>
      <c r="AB143" s="3"/>
    </row>
    <row r="144" spans="1:29"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X144" s="14" t="s">
        <v>26</v>
      </c>
      <c r="Y144" s="9">
        <f>ABS(SUM(Y3:Y143))</f>
        <v>394.32480248248527</v>
      </c>
      <c r="Z144" s="19">
        <f>SUM(Z3:Z143)</f>
        <v>897.80822154994996</v>
      </c>
      <c r="AA144" s="10">
        <f>SUM(AA3:AA143)</f>
        <v>238961.06099867483</v>
      </c>
      <c r="AB144" s="3"/>
      <c r="AC144" s="15"/>
    </row>
    <row r="145" spans="4:28" ht="23.25" customHeight="1"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R145" s="5"/>
      <c r="X145" s="14" t="s">
        <v>25</v>
      </c>
      <c r="Y145" s="3">
        <f>0.75*Y144</f>
        <v>295.74360186186397</v>
      </c>
      <c r="Z145" s="17">
        <f>0.75*Z144</f>
        <v>673.3561661624625</v>
      </c>
      <c r="AA145" s="18">
        <f>AA144/AB101</f>
        <v>897.80822187926753</v>
      </c>
      <c r="AB145" s="16" t="str">
        <f>IF(ABS(Z144-AA145)&lt;0.1,"balanced ro = "&amp;B3, "NG")</f>
        <v>balanced ro = 213.839527</v>
      </c>
    </row>
    <row r="146" spans="4:28"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AA146" s="66"/>
    </row>
    <row r="147" spans="4:28"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</row>
  </sheetData>
  <phoneticPr fontId="1" type="noConversion"/>
  <conditionalFormatting sqref="R101:R143 R95:R98">
    <cfRule type="cellIs" dxfId="359" priority="109" operator="equal">
      <formula>#REF!</formula>
    </cfRule>
  </conditionalFormatting>
  <conditionalFormatting sqref="R101:R143 R95:R98 R3:R93">
    <cfRule type="cellIs" dxfId="358" priority="106" operator="equal">
      <formula>MIN($R$3:$R$143)</formula>
    </cfRule>
    <cfRule type="cellIs" dxfId="357" priority="107" operator="equal">
      <formula>0.05292</formula>
    </cfRule>
    <cfRule type="cellIs" dxfId="356" priority="108" operator="equal">
      <formula>MIN($R$3:$R$143)</formula>
    </cfRule>
  </conditionalFormatting>
  <conditionalFormatting sqref="R101:R143 R95:R98">
    <cfRule type="cellIs" dxfId="355" priority="105" operator="equal">
      <formula>MIN($R$3:$R$143)</formula>
    </cfRule>
  </conditionalFormatting>
  <conditionalFormatting sqref="B3">
    <cfRule type="expression" dxfId="354" priority="103">
      <formula>ABS($Z$144-$AA$145)&lt;0.001</formula>
    </cfRule>
  </conditionalFormatting>
  <conditionalFormatting sqref="F3">
    <cfRule type="expression" dxfId="353" priority="210">
      <formula>ABS($Z$145-#REF!)&lt;0.001</formula>
    </cfRule>
  </conditionalFormatting>
  <conditionalFormatting sqref="R35">
    <cfRule type="cellIs" dxfId="352" priority="97" operator="equal">
      <formula>#REF!</formula>
    </cfRule>
  </conditionalFormatting>
  <conditionalFormatting sqref="R35">
    <cfRule type="cellIs" dxfId="351" priority="93" operator="equal">
      <formula>MIN($R$3:$R$143)</formula>
    </cfRule>
  </conditionalFormatting>
  <conditionalFormatting sqref="R36:R38">
    <cfRule type="cellIs" dxfId="350" priority="77" operator="equal">
      <formula>#REF!</formula>
    </cfRule>
  </conditionalFormatting>
  <conditionalFormatting sqref="R36:R38">
    <cfRule type="cellIs" dxfId="349" priority="73" operator="equal">
      <formula>MIN($R$3:$R$143)</formula>
    </cfRule>
  </conditionalFormatting>
  <conditionalFormatting sqref="R39:R43">
    <cfRule type="cellIs" dxfId="348" priority="72" operator="equal">
      <formula>#REF!</formula>
    </cfRule>
  </conditionalFormatting>
  <conditionalFormatting sqref="R39:R43">
    <cfRule type="cellIs" dxfId="347" priority="68" operator="equal">
      <formula>MIN($R$3:$R$143)</formula>
    </cfRule>
  </conditionalFormatting>
  <conditionalFormatting sqref="R44:R48">
    <cfRule type="cellIs" dxfId="346" priority="67" operator="equal">
      <formula>#REF!</formula>
    </cfRule>
  </conditionalFormatting>
  <conditionalFormatting sqref="R44:R48">
    <cfRule type="cellIs" dxfId="345" priority="63" operator="equal">
      <formula>MIN($R$3:$R$143)</formula>
    </cfRule>
  </conditionalFormatting>
  <conditionalFormatting sqref="R49:R53">
    <cfRule type="cellIs" dxfId="344" priority="62" operator="equal">
      <formula>#REF!</formula>
    </cfRule>
  </conditionalFormatting>
  <conditionalFormatting sqref="R49:R53">
    <cfRule type="cellIs" dxfId="343" priority="58" operator="equal">
      <formula>MIN($R$3:$R$143)</formula>
    </cfRule>
  </conditionalFormatting>
  <conditionalFormatting sqref="R54:R58">
    <cfRule type="cellIs" dxfId="342" priority="57" operator="equal">
      <formula>#REF!</formula>
    </cfRule>
  </conditionalFormatting>
  <conditionalFormatting sqref="R54:R58">
    <cfRule type="cellIs" dxfId="341" priority="53" operator="equal">
      <formula>MIN($R$3:$R$143)</formula>
    </cfRule>
  </conditionalFormatting>
  <conditionalFormatting sqref="R59:R63">
    <cfRule type="cellIs" dxfId="340" priority="52" operator="equal">
      <formula>#REF!</formula>
    </cfRule>
  </conditionalFormatting>
  <conditionalFormatting sqref="R59:R63">
    <cfRule type="cellIs" dxfId="339" priority="48" operator="equal">
      <formula>MIN($R$3:$R$143)</formula>
    </cfRule>
  </conditionalFormatting>
  <conditionalFormatting sqref="R64:R68">
    <cfRule type="cellIs" dxfId="338" priority="47" operator="equal">
      <formula>#REF!</formula>
    </cfRule>
  </conditionalFormatting>
  <conditionalFormatting sqref="R64:R68">
    <cfRule type="cellIs" dxfId="337" priority="43" operator="equal">
      <formula>MIN($R$3:$R$143)</formula>
    </cfRule>
  </conditionalFormatting>
  <conditionalFormatting sqref="R69:R73">
    <cfRule type="cellIs" dxfId="336" priority="42" operator="equal">
      <formula>#REF!</formula>
    </cfRule>
  </conditionalFormatting>
  <conditionalFormatting sqref="R69:R73">
    <cfRule type="cellIs" dxfId="335" priority="38" operator="equal">
      <formula>MIN($R$3:$R$143)</formula>
    </cfRule>
  </conditionalFormatting>
  <conditionalFormatting sqref="R74:R78">
    <cfRule type="cellIs" dxfId="334" priority="37" operator="equal">
      <formula>#REF!</formula>
    </cfRule>
  </conditionalFormatting>
  <conditionalFormatting sqref="R74:R78">
    <cfRule type="cellIs" dxfId="333" priority="33" operator="equal">
      <formula>MIN($R$3:$R$143)</formula>
    </cfRule>
  </conditionalFormatting>
  <conditionalFormatting sqref="R79:R83">
    <cfRule type="cellIs" dxfId="332" priority="32" operator="equal">
      <formula>#REF!</formula>
    </cfRule>
  </conditionalFormatting>
  <conditionalFormatting sqref="R79:R83">
    <cfRule type="cellIs" dxfId="331" priority="28" operator="equal">
      <formula>MIN($R$3:$R$143)</formula>
    </cfRule>
  </conditionalFormatting>
  <conditionalFormatting sqref="R84:R88">
    <cfRule type="cellIs" dxfId="330" priority="27" operator="equal">
      <formula>#REF!</formula>
    </cfRule>
  </conditionalFormatting>
  <conditionalFormatting sqref="R84:R88">
    <cfRule type="cellIs" dxfId="329" priority="23" operator="equal">
      <formula>MIN($R$3:$R$143)</formula>
    </cfRule>
  </conditionalFormatting>
  <conditionalFormatting sqref="R89:R93">
    <cfRule type="cellIs" dxfId="328" priority="22" operator="equal">
      <formula>#REF!</formula>
    </cfRule>
  </conditionalFormatting>
  <conditionalFormatting sqref="R89:R93">
    <cfRule type="cellIs" dxfId="327" priority="18" operator="equal">
      <formula>MIN($R$3:$R$143)</formula>
    </cfRule>
  </conditionalFormatting>
  <conditionalFormatting sqref="R94">
    <cfRule type="cellIs" dxfId="326" priority="15" operator="equal">
      <formula>MIN($R$3:$R$143)</formula>
    </cfRule>
    <cfRule type="cellIs" dxfId="325" priority="16" operator="equal">
      <formula>0.05292</formula>
    </cfRule>
    <cfRule type="cellIs" dxfId="324" priority="17" operator="equal">
      <formula>MIN($R$3:$R$143)</formula>
    </cfRule>
  </conditionalFormatting>
  <conditionalFormatting sqref="R94">
    <cfRule type="cellIs" dxfId="323" priority="14" operator="equal">
      <formula>#REF!</formula>
    </cfRule>
  </conditionalFormatting>
  <conditionalFormatting sqref="R94">
    <cfRule type="cellIs" dxfId="322" priority="13" operator="equal">
      <formula>MIN($R$3:$R$143)</formula>
    </cfRule>
  </conditionalFormatting>
  <conditionalFormatting sqref="F5:F34">
    <cfRule type="expression" dxfId="321" priority="7">
      <formula>ABS($Z$145-$AC$102)&lt;0.001</formula>
    </cfRule>
  </conditionalFormatting>
  <conditionalFormatting sqref="R3:R34">
    <cfRule type="cellIs" dxfId="320" priority="5" operator="equal">
      <formula>#REF!</formula>
    </cfRule>
  </conditionalFormatting>
  <conditionalFormatting sqref="R3:R34">
    <cfRule type="cellIs" dxfId="319" priority="1" operator="equal">
      <formula>MIN($R$3:$R$143)</formula>
    </cfRule>
  </conditionalFormatting>
  <pageMargins left="0.7" right="0.7" top="0.75" bottom="0.75" header="0.3" footer="0.3"/>
  <pageSetup paperSize="9" orientation="portrait" r:id="rId1"/>
  <ignoredErrors>
    <ignoredError sqref="J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0E31-C8E5-4713-9169-9C420472EBB7}">
  <dimension ref="A1:AD45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C38" sqref="AC38"/>
    </sheetView>
  </sheetViews>
  <sheetFormatPr defaultColWidth="8.5" defaultRowHeight="16.5"/>
  <cols>
    <col min="1" max="1" width="5.75" style="23" customWidth="1"/>
    <col min="2" max="2" width="7.5" style="23" customWidth="1"/>
    <col min="3" max="3" width="6.25" style="23" customWidth="1"/>
    <col min="4" max="30" width="9.125" style="23" customWidth="1"/>
    <col min="31" max="16384" width="8.5" style="23"/>
  </cols>
  <sheetData>
    <row r="1" spans="1:30" ht="16.5" customHeight="1">
      <c r="B1" s="72"/>
      <c r="C1" s="84" t="s">
        <v>3</v>
      </c>
      <c r="D1" s="84" t="s">
        <v>49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</row>
    <row r="2" spans="1:30">
      <c r="C2" s="84"/>
      <c r="D2" s="82">
        <f>0/160</f>
        <v>0</v>
      </c>
      <c r="E2" s="82"/>
      <c r="F2" s="82"/>
      <c r="G2" s="82">
        <f>20/160</f>
        <v>0.125</v>
      </c>
      <c r="H2" s="82"/>
      <c r="I2" s="82"/>
      <c r="J2" s="82">
        <f>30/160</f>
        <v>0.1875</v>
      </c>
      <c r="K2" s="82"/>
      <c r="L2" s="82"/>
      <c r="M2" s="82">
        <f>50/160</f>
        <v>0.3125</v>
      </c>
      <c r="N2" s="82"/>
      <c r="O2" s="82"/>
      <c r="P2" s="82">
        <f>80/160</f>
        <v>0.5</v>
      </c>
      <c r="Q2" s="82"/>
      <c r="R2" s="82"/>
      <c r="S2" s="82">
        <f>120/160</f>
        <v>0.75</v>
      </c>
      <c r="T2" s="82"/>
      <c r="U2" s="82"/>
      <c r="V2" s="82">
        <f>160/160</f>
        <v>1</v>
      </c>
      <c r="W2" s="82"/>
      <c r="X2" s="82"/>
      <c r="Y2" s="83">
        <f>240/160</f>
        <v>1.5</v>
      </c>
      <c r="Z2" s="83"/>
      <c r="AA2" s="83"/>
      <c r="AB2" s="83">
        <f>320/160</f>
        <v>2</v>
      </c>
      <c r="AC2" s="83"/>
      <c r="AD2" s="83"/>
    </row>
    <row r="3" spans="1:30">
      <c r="A3" s="84" t="s">
        <v>160</v>
      </c>
      <c r="B3" s="84"/>
      <c r="C3" s="82">
        <v>0</v>
      </c>
      <c r="D3" s="74">
        <v>1933.0046749999999</v>
      </c>
      <c r="E3" s="61"/>
      <c r="F3" s="61"/>
      <c r="G3" s="61">
        <v>2604.5297959999998</v>
      </c>
      <c r="I3" s="61"/>
      <c r="J3" s="61">
        <v>3042.571398</v>
      </c>
      <c r="K3" s="61"/>
      <c r="L3" s="61"/>
      <c r="M3" s="61">
        <v>4111.3362770000003</v>
      </c>
      <c r="N3" s="61"/>
      <c r="O3" s="61"/>
      <c r="P3" s="61">
        <v>4837.2084480000003</v>
      </c>
      <c r="Q3" s="61"/>
      <c r="R3" s="61"/>
      <c r="S3" s="61">
        <v>5257.3017209999998</v>
      </c>
      <c r="T3" s="61"/>
      <c r="U3" s="61"/>
      <c r="V3" s="61">
        <v>5879.3177619999997</v>
      </c>
      <c r="W3" s="61"/>
      <c r="X3" s="61"/>
      <c r="Y3" s="61">
        <v>6746.6035700000002</v>
      </c>
      <c r="Z3" s="61"/>
      <c r="AA3" s="61"/>
      <c r="AB3" s="61">
        <v>7889.873063</v>
      </c>
      <c r="AC3" s="61"/>
      <c r="AD3" s="61"/>
    </row>
    <row r="4" spans="1:30">
      <c r="A4" s="80" t="s">
        <v>161</v>
      </c>
      <c r="B4" s="71" t="s">
        <v>156</v>
      </c>
      <c r="C4" s="82"/>
      <c r="D4" s="61">
        <v>248.78112100000001</v>
      </c>
      <c r="E4" s="61"/>
      <c r="F4" s="61"/>
      <c r="G4" s="61">
        <v>306.49542600000001</v>
      </c>
      <c r="I4" s="61"/>
      <c r="J4" s="61">
        <v>352.40248000000003</v>
      </c>
      <c r="K4" s="61"/>
      <c r="L4" s="61"/>
      <c r="M4" s="61">
        <v>444.59777600000001</v>
      </c>
      <c r="N4" s="61"/>
      <c r="O4" s="61"/>
      <c r="P4" s="61">
        <v>584.33726999999999</v>
      </c>
      <c r="Q4" s="61"/>
      <c r="R4" s="61"/>
      <c r="S4" s="61">
        <v>771.25895100000002</v>
      </c>
      <c r="T4" s="61"/>
      <c r="U4" s="61"/>
      <c r="V4" s="61">
        <v>958.14174000000003</v>
      </c>
      <c r="W4" s="61"/>
      <c r="X4" s="61"/>
      <c r="Y4" s="61">
        <v>1332.2864810000001</v>
      </c>
      <c r="Z4" s="61"/>
      <c r="AA4" s="61"/>
      <c r="AB4" s="61">
        <v>1706.3730250000001</v>
      </c>
      <c r="AC4" s="61"/>
      <c r="AD4" s="61"/>
    </row>
    <row r="5" spans="1:30">
      <c r="A5" s="81"/>
      <c r="B5" s="69" t="s">
        <v>157</v>
      </c>
      <c r="C5" s="82"/>
      <c r="D5" s="61">
        <v>248.64024611658738</v>
      </c>
      <c r="E5" s="61"/>
      <c r="F5" s="61"/>
      <c r="G5" s="61">
        <v>306.21370961072341</v>
      </c>
      <c r="I5" s="61"/>
      <c r="J5" s="61">
        <v>352.03502968021996</v>
      </c>
      <c r="K5" s="61"/>
      <c r="L5" s="61"/>
      <c r="M5" s="61">
        <v>443.60380488173178</v>
      </c>
      <c r="N5" s="61"/>
      <c r="O5" s="61"/>
      <c r="P5" s="61">
        <v>583.52639830546843</v>
      </c>
      <c r="Q5" s="61"/>
      <c r="R5" s="61"/>
      <c r="S5" s="61">
        <v>769.96307257485614</v>
      </c>
      <c r="T5" s="61"/>
      <c r="U5" s="61"/>
      <c r="V5" s="61">
        <v>956.45924514680428</v>
      </c>
      <c r="W5" s="61"/>
      <c r="X5" s="61"/>
      <c r="Y5" s="61">
        <v>1329.8482480058797</v>
      </c>
      <c r="Z5" s="61"/>
      <c r="AA5" s="61"/>
      <c r="AB5" s="61">
        <v>1703.4363686238303</v>
      </c>
      <c r="AC5" s="61"/>
      <c r="AD5" s="61"/>
    </row>
    <row r="6" spans="1:30">
      <c r="A6" s="81"/>
      <c r="B6" s="69" t="s">
        <v>158</v>
      </c>
      <c r="C6" s="82"/>
      <c r="D6" s="61">
        <v>246.2255758486358</v>
      </c>
      <c r="E6" s="61"/>
      <c r="F6" s="61"/>
      <c r="G6" s="61">
        <v>310.42955664787684</v>
      </c>
      <c r="I6" s="61"/>
      <c r="J6" s="61">
        <v>348.48861743093209</v>
      </c>
      <c r="K6" s="61"/>
      <c r="L6" s="61"/>
      <c r="M6" s="61">
        <v>439.3339407783119</v>
      </c>
      <c r="N6" s="61"/>
      <c r="O6" s="61"/>
      <c r="P6" s="61">
        <v>577.17393048389897</v>
      </c>
      <c r="Q6" s="61"/>
      <c r="R6" s="61"/>
      <c r="S6" s="61">
        <v>761.18121566110528</v>
      </c>
      <c r="T6" s="61"/>
      <c r="U6" s="61"/>
      <c r="V6" s="61">
        <v>946.5122942568529</v>
      </c>
      <c r="W6" s="61"/>
      <c r="X6" s="61"/>
      <c r="Y6" s="61">
        <v>1315.1887613205361</v>
      </c>
      <c r="Z6" s="61"/>
      <c r="AA6" s="61"/>
      <c r="AB6" s="61">
        <v>1681.2176415471365</v>
      </c>
      <c r="AC6" s="61"/>
      <c r="AD6" s="61"/>
    </row>
    <row r="7" spans="1:30">
      <c r="A7" s="84" t="s">
        <v>159</v>
      </c>
      <c r="B7" s="84"/>
      <c r="C7" s="82"/>
      <c r="D7" s="75" t="s">
        <v>163</v>
      </c>
      <c r="E7" s="61"/>
      <c r="F7" s="61"/>
      <c r="G7" s="75" t="s">
        <v>167</v>
      </c>
      <c r="I7" s="61"/>
      <c r="J7" s="75" t="s">
        <v>167</v>
      </c>
      <c r="K7" s="61"/>
      <c r="L7" s="61"/>
      <c r="M7" s="75" t="s">
        <v>162</v>
      </c>
      <c r="N7" s="61"/>
      <c r="O7" s="61"/>
      <c r="P7" s="75" t="s">
        <v>162</v>
      </c>
      <c r="Q7" s="61"/>
      <c r="R7" s="61"/>
      <c r="S7" s="75" t="s">
        <v>162</v>
      </c>
      <c r="T7" s="61"/>
      <c r="U7" s="61"/>
      <c r="V7" s="75" t="s">
        <v>162</v>
      </c>
      <c r="W7" s="61"/>
      <c r="X7" s="61"/>
      <c r="Y7" s="75" t="s">
        <v>162</v>
      </c>
      <c r="Z7" s="61"/>
      <c r="AA7" s="61"/>
      <c r="AB7" s="75" t="s">
        <v>162</v>
      </c>
      <c r="AC7" s="61"/>
      <c r="AD7" s="61"/>
    </row>
    <row r="8" spans="1:30" ht="7.5" customHeight="1">
      <c r="A8" s="70"/>
      <c r="B8" s="70"/>
      <c r="C8" s="73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</row>
    <row r="9" spans="1:30">
      <c r="C9" s="73"/>
      <c r="D9" s="82">
        <f>0/160</f>
        <v>0</v>
      </c>
      <c r="E9" s="82"/>
      <c r="F9" s="82"/>
      <c r="G9" s="82">
        <f>20/160</f>
        <v>0.125</v>
      </c>
      <c r="H9" s="82"/>
      <c r="I9" s="82"/>
      <c r="J9" s="82">
        <f>30/160</f>
        <v>0.1875</v>
      </c>
      <c r="K9" s="82"/>
      <c r="L9" s="82"/>
      <c r="M9" s="82">
        <f>50/160</f>
        <v>0.3125</v>
      </c>
      <c r="N9" s="82"/>
      <c r="O9" s="82"/>
      <c r="P9" s="82">
        <f>80/160</f>
        <v>0.5</v>
      </c>
      <c r="Q9" s="82"/>
      <c r="R9" s="82"/>
      <c r="S9" s="82">
        <f>120/160</f>
        <v>0.75</v>
      </c>
      <c r="T9" s="82"/>
      <c r="U9" s="82"/>
      <c r="V9" s="82">
        <f>160/160</f>
        <v>1</v>
      </c>
      <c r="W9" s="82"/>
      <c r="X9" s="82"/>
      <c r="Y9" s="83">
        <f>240/160</f>
        <v>1.5</v>
      </c>
      <c r="Z9" s="83"/>
      <c r="AA9" s="83"/>
      <c r="AB9" s="83">
        <f>320/160</f>
        <v>2</v>
      </c>
      <c r="AC9" s="83"/>
      <c r="AD9" s="83"/>
    </row>
    <row r="10" spans="1:30">
      <c r="A10" s="84" t="s">
        <v>160</v>
      </c>
      <c r="B10" s="84"/>
      <c r="C10" s="82">
        <v>0.5</v>
      </c>
      <c r="D10" s="61">
        <v>21.239470000000001</v>
      </c>
      <c r="E10" s="61"/>
      <c r="F10" s="61"/>
      <c r="G10" s="61">
        <v>47.594562000000003</v>
      </c>
      <c r="I10" s="61"/>
      <c r="J10" s="61">
        <v>59.414133</v>
      </c>
      <c r="K10" s="61"/>
      <c r="L10" s="61"/>
      <c r="M10" s="61">
        <v>81.301501000000002</v>
      </c>
      <c r="N10" s="61"/>
      <c r="O10" s="61"/>
      <c r="P10" s="61">
        <v>112.35014099999999</v>
      </c>
      <c r="Q10" s="61"/>
      <c r="R10" s="61"/>
      <c r="S10" s="61">
        <v>151.442791</v>
      </c>
      <c r="T10" s="61"/>
      <c r="U10" s="61"/>
      <c r="V10" s="61">
        <v>190.06469300000001</v>
      </c>
      <c r="W10" s="61"/>
      <c r="X10" s="61"/>
      <c r="Y10" s="61">
        <v>268.263194</v>
      </c>
      <c r="Z10" s="61"/>
      <c r="AA10" s="61"/>
      <c r="AB10" s="61">
        <v>348.21954599999998</v>
      </c>
      <c r="AC10" s="61"/>
      <c r="AD10" s="61"/>
    </row>
    <row r="11" spans="1:30">
      <c r="A11" s="80" t="s">
        <v>161</v>
      </c>
      <c r="B11" s="71" t="s">
        <v>156</v>
      </c>
      <c r="C11" s="82"/>
      <c r="D11" s="61">
        <v>155.07886099999999</v>
      </c>
      <c r="E11" s="61"/>
      <c r="F11" s="61"/>
      <c r="G11" s="61">
        <v>207.95469</v>
      </c>
      <c r="I11" s="61"/>
      <c r="J11" s="61">
        <v>235.99381700000001</v>
      </c>
      <c r="K11" s="61"/>
      <c r="L11" s="61"/>
      <c r="M11" s="61">
        <v>293.430117</v>
      </c>
      <c r="N11" s="61"/>
      <c r="O11" s="61"/>
      <c r="P11" s="61">
        <v>383.600505</v>
      </c>
      <c r="Q11" s="61"/>
      <c r="R11" s="61"/>
      <c r="S11" s="61">
        <v>511.61252000000002</v>
      </c>
      <c r="T11" s="61"/>
      <c r="U11" s="61"/>
      <c r="V11" s="61">
        <v>648.52909099999999</v>
      </c>
      <c r="W11" s="61"/>
      <c r="X11" s="61"/>
      <c r="Y11" s="61">
        <v>943.69945499999994</v>
      </c>
      <c r="Z11" s="61"/>
      <c r="AA11" s="61"/>
      <c r="AB11" s="61">
        <v>1258.7046439999999</v>
      </c>
      <c r="AC11" s="61"/>
      <c r="AD11" s="61"/>
    </row>
    <row r="12" spans="1:30">
      <c r="A12" s="81"/>
      <c r="B12" s="69" t="s">
        <v>157</v>
      </c>
      <c r="C12" s="82"/>
      <c r="D12" s="61">
        <v>155.07886217107358</v>
      </c>
      <c r="E12" s="61"/>
      <c r="F12" s="61"/>
      <c r="G12" s="61">
        <v>207.95469178869087</v>
      </c>
      <c r="I12" s="61"/>
      <c r="J12" s="61">
        <v>235.99381853581909</v>
      </c>
      <c r="K12" s="61"/>
      <c r="L12" s="61"/>
      <c r="M12" s="61">
        <v>293.43011028623255</v>
      </c>
      <c r="N12" s="61"/>
      <c r="O12" s="61"/>
      <c r="P12" s="61">
        <v>383.60047871309456</v>
      </c>
      <c r="Q12" s="61"/>
      <c r="R12" s="61"/>
      <c r="S12" s="61">
        <v>511.6125277378901</v>
      </c>
      <c r="T12" s="61"/>
      <c r="U12" s="61"/>
      <c r="V12" s="61">
        <v>648.52908548705136</v>
      </c>
      <c r="W12" s="61"/>
      <c r="X12" s="61"/>
      <c r="Y12" s="61">
        <v>943.69943787734258</v>
      </c>
      <c r="Z12" s="61"/>
      <c r="AA12" s="61"/>
      <c r="AB12" s="61">
        <v>1258.7046067399051</v>
      </c>
      <c r="AC12" s="61"/>
      <c r="AD12" s="61"/>
    </row>
    <row r="13" spans="1:30">
      <c r="A13" s="81"/>
      <c r="B13" s="69" t="s">
        <v>158</v>
      </c>
      <c r="C13" s="82"/>
      <c r="D13" s="61">
        <v>152.23624313222106</v>
      </c>
      <c r="E13" s="61"/>
      <c r="F13" s="61"/>
      <c r="G13" s="61">
        <v>204.19513480995738</v>
      </c>
      <c r="I13" s="61"/>
      <c r="J13" s="61">
        <v>231.49837406736663</v>
      </c>
      <c r="K13" s="61"/>
      <c r="L13" s="61"/>
      <c r="M13" s="61">
        <v>289.08338777390242</v>
      </c>
      <c r="N13" s="61"/>
      <c r="O13" s="61"/>
      <c r="P13" s="61">
        <v>377.28112428420008</v>
      </c>
      <c r="Q13" s="61"/>
      <c r="R13" s="61"/>
      <c r="S13" s="61">
        <v>503.04149904560006</v>
      </c>
      <c r="T13" s="61"/>
      <c r="U13" s="61"/>
      <c r="V13" s="61">
        <v>638.0684277367875</v>
      </c>
      <c r="W13" s="61"/>
      <c r="X13" s="61"/>
      <c r="Y13" s="61">
        <v>928.64108310654831</v>
      </c>
      <c r="Z13" s="61"/>
      <c r="AA13" s="61"/>
      <c r="AB13" s="61">
        <v>1237.7468463358841</v>
      </c>
      <c r="AC13" s="61"/>
      <c r="AD13" s="61"/>
    </row>
    <row r="14" spans="1:30">
      <c r="A14" s="84" t="s">
        <v>159</v>
      </c>
      <c r="B14" s="84"/>
      <c r="C14" s="82"/>
      <c r="D14" s="75" t="s">
        <v>168</v>
      </c>
      <c r="E14" s="61"/>
      <c r="F14" s="61"/>
      <c r="G14" s="75" t="s">
        <v>168</v>
      </c>
      <c r="I14" s="61"/>
      <c r="J14" s="75" t="s">
        <v>168</v>
      </c>
      <c r="K14" s="61"/>
      <c r="L14" s="61"/>
      <c r="M14" s="75" t="s">
        <v>167</v>
      </c>
      <c r="N14" s="61"/>
      <c r="O14" s="61"/>
      <c r="P14" s="75" t="s">
        <v>167</v>
      </c>
      <c r="Q14" s="61"/>
      <c r="R14" s="61"/>
      <c r="S14" s="75" t="s">
        <v>162</v>
      </c>
      <c r="T14" s="61"/>
      <c r="U14" s="61"/>
      <c r="V14" s="75" t="s">
        <v>162</v>
      </c>
      <c r="W14" s="61"/>
      <c r="X14" s="61"/>
      <c r="Y14" s="75" t="s">
        <v>162</v>
      </c>
      <c r="Z14" s="61"/>
      <c r="AA14" s="61"/>
      <c r="AB14" s="75" t="s">
        <v>162</v>
      </c>
      <c r="AC14" s="61"/>
      <c r="AD14" s="61"/>
    </row>
    <row r="15" spans="1:30" ht="7.5" customHeight="1">
      <c r="A15" s="70"/>
      <c r="B15" s="70"/>
      <c r="C15" s="73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>
      <c r="C16" s="73"/>
      <c r="D16" s="82">
        <f>0/160</f>
        <v>0</v>
      </c>
      <c r="E16" s="82"/>
      <c r="F16" s="82"/>
      <c r="G16" s="82">
        <f>20/160</f>
        <v>0.125</v>
      </c>
      <c r="H16" s="82"/>
      <c r="I16" s="82"/>
      <c r="J16" s="82">
        <f>30/160</f>
        <v>0.1875</v>
      </c>
      <c r="K16" s="82"/>
      <c r="L16" s="82"/>
      <c r="M16" s="82">
        <f>50/160</f>
        <v>0.3125</v>
      </c>
      <c r="N16" s="82"/>
      <c r="O16" s="82"/>
      <c r="P16" s="82">
        <f>80/160</f>
        <v>0.5</v>
      </c>
      <c r="Q16" s="82"/>
      <c r="R16" s="82"/>
      <c r="S16" s="82">
        <f>120/160</f>
        <v>0.75</v>
      </c>
      <c r="T16" s="82"/>
      <c r="U16" s="82"/>
      <c r="V16" s="82">
        <f>160/160</f>
        <v>1</v>
      </c>
      <c r="W16" s="82"/>
      <c r="X16" s="82"/>
      <c r="Y16" s="83">
        <f>240/160</f>
        <v>1.5</v>
      </c>
      <c r="Z16" s="83"/>
      <c r="AA16" s="83"/>
      <c r="AB16" s="83">
        <f>320/160</f>
        <v>2</v>
      </c>
      <c r="AC16" s="83"/>
      <c r="AD16" s="83"/>
    </row>
    <row r="17" spans="1:30">
      <c r="A17" s="84" t="s">
        <v>160</v>
      </c>
      <c r="B17" s="84"/>
      <c r="C17" s="82">
        <v>1</v>
      </c>
      <c r="D17" s="61">
        <v>-63.905701000000001</v>
      </c>
      <c r="E17" s="61">
        <v>-10.315658000000001</v>
      </c>
      <c r="F17" s="61">
        <v>8.6327169999999995</v>
      </c>
      <c r="G17" s="61">
        <v>-36.757157999999997</v>
      </c>
      <c r="H17" s="61">
        <v>4.0360079999999998</v>
      </c>
      <c r="I17" s="61">
        <v>30.612705999999999</v>
      </c>
      <c r="J17" s="61">
        <v>-23.445762999999999</v>
      </c>
      <c r="K17" s="61">
        <v>10.522270000000001</v>
      </c>
      <c r="L17" s="61">
        <v>40.865900000000003</v>
      </c>
      <c r="M17" s="61">
        <v>12.516220000000001</v>
      </c>
      <c r="N17" s="61">
        <v>60.287188</v>
      </c>
      <c r="O17" s="61"/>
      <c r="P17" s="61">
        <v>88.024253000000002</v>
      </c>
      <c r="Q17" s="61"/>
      <c r="R17" s="61"/>
      <c r="S17" s="61">
        <v>76.039064999999994</v>
      </c>
      <c r="T17" s="61">
        <v>109.912834</v>
      </c>
      <c r="U17" s="61"/>
      <c r="V17" s="61">
        <v>101.71095</v>
      </c>
      <c r="W17" s="61">
        <v>158.80398199999999</v>
      </c>
      <c r="X17" s="61"/>
      <c r="Y17" s="61">
        <v>155.61293499999999</v>
      </c>
      <c r="Z17" s="61"/>
      <c r="AA17" s="61"/>
      <c r="AB17" s="61">
        <v>213.44868099999999</v>
      </c>
      <c r="AC17" s="61"/>
      <c r="AD17" s="61"/>
    </row>
    <row r="18" spans="1:30" ht="17.25" customHeight="1">
      <c r="A18" s="80" t="s">
        <v>161</v>
      </c>
      <c r="B18" s="71" t="s">
        <v>156</v>
      </c>
      <c r="C18" s="82"/>
      <c r="D18" s="61">
        <v>236.45280299999999</v>
      </c>
      <c r="E18" s="61">
        <v>97.913926000000004</v>
      </c>
      <c r="F18" s="61">
        <v>86.252634999999998</v>
      </c>
      <c r="G18" s="61">
        <v>267.72393299999999</v>
      </c>
      <c r="H18" s="61">
        <v>135.366209</v>
      </c>
      <c r="I18" s="61">
        <v>116.028037</v>
      </c>
      <c r="J18" s="61">
        <v>273.39797299999998</v>
      </c>
      <c r="K18" s="61">
        <v>156.77842999999999</v>
      </c>
      <c r="L18" s="61">
        <v>132.266988</v>
      </c>
      <c r="M18" s="61">
        <v>233.57090500000001</v>
      </c>
      <c r="N18" s="61">
        <v>167.27649400000001</v>
      </c>
      <c r="O18" s="61"/>
      <c r="P18" s="61">
        <v>224.56394399999999</v>
      </c>
      <c r="Q18" s="61"/>
      <c r="R18" s="61"/>
      <c r="S18" s="61">
        <v>363.24283000000003</v>
      </c>
      <c r="T18" s="61">
        <v>307.24384800000001</v>
      </c>
      <c r="U18" s="61"/>
      <c r="V18" s="61">
        <v>479.04727800000001</v>
      </c>
      <c r="W18" s="61">
        <v>403.68545799999998</v>
      </c>
      <c r="X18" s="61"/>
      <c r="Y18" s="61">
        <v>732.294894</v>
      </c>
      <c r="Z18" s="61"/>
      <c r="AA18" s="61"/>
      <c r="AB18" s="61">
        <v>1008.284629</v>
      </c>
      <c r="AC18" s="61"/>
      <c r="AD18" s="61"/>
    </row>
    <row r="19" spans="1:30">
      <c r="A19" s="81"/>
      <c r="B19" s="69" t="s">
        <v>157</v>
      </c>
      <c r="C19" s="82"/>
      <c r="D19" s="61">
        <v>236.45280294368015</v>
      </c>
      <c r="E19" s="61">
        <v>97.913925562437583</v>
      </c>
      <c r="F19" s="61">
        <v>86.252637107759696</v>
      </c>
      <c r="G19" s="61">
        <v>267.72393451767499</v>
      </c>
      <c r="H19" s="61">
        <v>135.36620696447332</v>
      </c>
      <c r="I19" s="61">
        <v>116.02803768463984</v>
      </c>
      <c r="J19" s="61">
        <v>273.39797283363089</v>
      </c>
      <c r="K19" s="61">
        <v>156.77842935024699</v>
      </c>
      <c r="L19" s="61">
        <v>132.26698895444986</v>
      </c>
      <c r="M19" s="61">
        <v>233.57090574827811</v>
      </c>
      <c r="N19" s="61">
        <v>167.27645328793699</v>
      </c>
      <c r="O19" s="61"/>
      <c r="P19" s="61">
        <v>224.5639163272175</v>
      </c>
      <c r="Q19" s="61"/>
      <c r="R19" s="61"/>
      <c r="S19" s="61">
        <v>363.24283191224561</v>
      </c>
      <c r="T19" s="61">
        <v>307.24383709903333</v>
      </c>
      <c r="U19" s="61"/>
      <c r="V19" s="61">
        <v>479.04729634899991</v>
      </c>
      <c r="W19" s="61">
        <v>403.68540321697071</v>
      </c>
      <c r="X19" s="61"/>
      <c r="Y19" s="61">
        <v>732.29491988279756</v>
      </c>
      <c r="Z19" s="61"/>
      <c r="AA19" s="61"/>
      <c r="AB19" s="61">
        <v>1008.2846497647522</v>
      </c>
      <c r="AC19" s="61"/>
      <c r="AD19" s="61"/>
    </row>
    <row r="20" spans="1:30">
      <c r="A20" s="81"/>
      <c r="B20" s="69" t="s">
        <v>158</v>
      </c>
      <c r="C20" s="82"/>
      <c r="D20" s="61">
        <v>84.590399444773269</v>
      </c>
      <c r="E20" s="61">
        <v>84.590399444773269</v>
      </c>
      <c r="F20" s="61">
        <v>84.590399444773269</v>
      </c>
      <c r="G20" s="61">
        <v>113.81313915906701</v>
      </c>
      <c r="H20" s="61">
        <v>113.81313915906701</v>
      </c>
      <c r="I20" s="61">
        <v>113.81313915906701</v>
      </c>
      <c r="J20" s="61">
        <v>129.28497473826556</v>
      </c>
      <c r="K20" s="61">
        <v>129.28497473826556</v>
      </c>
      <c r="L20" s="61">
        <v>129.28497473826556</v>
      </c>
      <c r="M20" s="61">
        <v>163.98490972177291</v>
      </c>
      <c r="N20" s="61">
        <v>163.98490972177291</v>
      </c>
      <c r="O20" s="61"/>
      <c r="P20" s="61">
        <v>221.07350089635582</v>
      </c>
      <c r="Q20" s="61"/>
      <c r="R20" s="61"/>
      <c r="S20" s="61">
        <v>303.81058955517165</v>
      </c>
      <c r="T20" s="61">
        <v>303.81058955517165</v>
      </c>
      <c r="U20" s="61"/>
      <c r="V20" s="61">
        <v>398.46181898085689</v>
      </c>
      <c r="W20" s="61">
        <v>398.46181898085689</v>
      </c>
      <c r="X20" s="61"/>
      <c r="Y20" s="61">
        <v>618.21152645867164</v>
      </c>
      <c r="Z20" s="61"/>
      <c r="AA20" s="61"/>
      <c r="AB20" s="61">
        <v>868.40848256293054</v>
      </c>
      <c r="AC20" s="61"/>
      <c r="AD20" s="61"/>
    </row>
    <row r="21" spans="1:30">
      <c r="A21" s="84" t="s">
        <v>159</v>
      </c>
      <c r="B21" s="84"/>
      <c r="C21" s="82"/>
      <c r="D21" s="75" t="s">
        <v>168</v>
      </c>
      <c r="E21" s="75" t="s">
        <v>168</v>
      </c>
      <c r="F21" s="75" t="s">
        <v>168</v>
      </c>
      <c r="G21" s="75" t="s">
        <v>168</v>
      </c>
      <c r="H21" s="75" t="s">
        <v>168</v>
      </c>
      <c r="I21" s="75" t="s">
        <v>168</v>
      </c>
      <c r="J21" s="75" t="s">
        <v>168</v>
      </c>
      <c r="K21" s="75" t="s">
        <v>168</v>
      </c>
      <c r="L21" s="75" t="s">
        <v>168</v>
      </c>
      <c r="M21" s="75" t="s">
        <v>168</v>
      </c>
      <c r="N21" s="75" t="s">
        <v>168</v>
      </c>
      <c r="O21" s="74"/>
      <c r="P21" s="75" t="s">
        <v>167</v>
      </c>
      <c r="Q21" s="74"/>
      <c r="R21" s="74"/>
      <c r="S21" s="75" t="s">
        <v>163</v>
      </c>
      <c r="T21" s="75" t="s">
        <v>162</v>
      </c>
      <c r="U21" s="74"/>
      <c r="V21" s="75" t="s">
        <v>162</v>
      </c>
      <c r="W21" s="75" t="s">
        <v>162</v>
      </c>
      <c r="X21" s="74"/>
      <c r="Y21" s="75" t="s">
        <v>162</v>
      </c>
      <c r="Z21" s="74"/>
      <c r="AA21" s="74"/>
      <c r="AB21" s="75" t="s">
        <v>162</v>
      </c>
      <c r="AC21" s="74"/>
      <c r="AD21" s="61"/>
    </row>
    <row r="22" spans="1:30" ht="7.5" customHeight="1">
      <c r="A22" s="70"/>
      <c r="B22" s="70"/>
      <c r="C22" s="7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1:30">
      <c r="C23" s="73"/>
      <c r="D23" s="82">
        <f>0/160</f>
        <v>0</v>
      </c>
      <c r="E23" s="82"/>
      <c r="F23" s="82"/>
      <c r="G23" s="82">
        <f>20/160</f>
        <v>0.125</v>
      </c>
      <c r="H23" s="82"/>
      <c r="I23" s="82"/>
      <c r="J23" s="82">
        <f>30/160</f>
        <v>0.1875</v>
      </c>
      <c r="K23" s="82"/>
      <c r="L23" s="82"/>
      <c r="M23" s="82">
        <f>50/160</f>
        <v>0.3125</v>
      </c>
      <c r="N23" s="82"/>
      <c r="O23" s="82"/>
      <c r="P23" s="82">
        <f>80/160</f>
        <v>0.5</v>
      </c>
      <c r="Q23" s="82"/>
      <c r="R23" s="82"/>
      <c r="S23" s="82">
        <f>120/160</f>
        <v>0.75</v>
      </c>
      <c r="T23" s="82"/>
      <c r="U23" s="82"/>
      <c r="V23" s="82">
        <f>160/160</f>
        <v>1</v>
      </c>
      <c r="W23" s="82"/>
      <c r="X23" s="82"/>
      <c r="Y23" s="83">
        <f>240/160</f>
        <v>1.5</v>
      </c>
      <c r="Z23" s="83"/>
      <c r="AA23" s="83"/>
      <c r="AB23" s="83">
        <f>320/160</f>
        <v>2</v>
      </c>
      <c r="AC23" s="83"/>
      <c r="AD23" s="83"/>
    </row>
    <row r="24" spans="1:30">
      <c r="A24" s="84" t="s">
        <v>160</v>
      </c>
      <c r="B24" s="84"/>
      <c r="C24" s="83">
        <v>1.5</v>
      </c>
      <c r="D24" s="61">
        <v>-110.47290099999999</v>
      </c>
      <c r="E24" s="61">
        <v>-5.4828539999999997</v>
      </c>
      <c r="F24" s="61">
        <v>5.1750509999999998</v>
      </c>
      <c r="G24" s="61">
        <v>-87.294803000000002</v>
      </c>
      <c r="H24" s="61">
        <v>12.516506</v>
      </c>
      <c r="I24" s="61">
        <v>26.067893000000002</v>
      </c>
      <c r="J24" s="61">
        <v>-77.251486</v>
      </c>
      <c r="K24" s="61">
        <v>21.988157999999999</v>
      </c>
      <c r="L24" s="61">
        <v>35.930625999999997</v>
      </c>
      <c r="M24" s="61">
        <v>-58.618848</v>
      </c>
      <c r="N24" s="61">
        <v>42.503363999999998</v>
      </c>
      <c r="O24" s="61">
        <v>54.802363</v>
      </c>
      <c r="P24" s="61">
        <v>-31.944707000000001</v>
      </c>
      <c r="Q24" s="61">
        <v>76.609889999999993</v>
      </c>
      <c r="R24" s="61">
        <v>82.139151999999996</v>
      </c>
      <c r="S24" s="61">
        <v>6.0761139999999996</v>
      </c>
      <c r="T24" s="61"/>
      <c r="U24" s="61"/>
      <c r="V24" s="61">
        <v>39.278325000000002</v>
      </c>
      <c r="W24" s="61"/>
      <c r="X24" s="61"/>
      <c r="Y24" s="61">
        <v>90.850099</v>
      </c>
      <c r="Z24" s="61"/>
      <c r="AA24" s="61"/>
      <c r="AB24" s="61">
        <v>140.48603900000001</v>
      </c>
      <c r="AC24" s="61"/>
      <c r="AD24" s="61"/>
    </row>
    <row r="25" spans="1:30">
      <c r="A25" s="80" t="s">
        <v>161</v>
      </c>
      <c r="B25" s="71" t="s">
        <v>156</v>
      </c>
      <c r="C25" s="83"/>
      <c r="D25" s="61">
        <v>249.32358600000001</v>
      </c>
      <c r="E25" s="61">
        <v>61.324236999999997</v>
      </c>
      <c r="F25" s="61">
        <v>58.607256</v>
      </c>
      <c r="G25" s="61">
        <v>312.031387</v>
      </c>
      <c r="H25" s="61">
        <v>81.298524</v>
      </c>
      <c r="I25" s="61">
        <v>78.708978000000002</v>
      </c>
      <c r="J25" s="61">
        <v>341.12925000000001</v>
      </c>
      <c r="K25" s="61">
        <v>91.847284999999999</v>
      </c>
      <c r="L25" s="61">
        <v>89.783935999999997</v>
      </c>
      <c r="M25" s="61">
        <v>393.13758799999999</v>
      </c>
      <c r="N25" s="61">
        <v>114.118028</v>
      </c>
      <c r="O25" s="61">
        <v>114.031012</v>
      </c>
      <c r="P25" s="61">
        <v>451.40075100000001</v>
      </c>
      <c r="Q25" s="61">
        <v>153.794273</v>
      </c>
      <c r="R25" s="61">
        <v>155.307725</v>
      </c>
      <c r="S25" s="61">
        <v>477.09324800000002</v>
      </c>
      <c r="T25" s="61"/>
      <c r="U25" s="61"/>
      <c r="V25" s="61">
        <v>528.86639600000001</v>
      </c>
      <c r="W25" s="61"/>
      <c r="X25" s="61"/>
      <c r="Y25" s="61">
        <v>749.10618499999998</v>
      </c>
      <c r="Z25" s="61"/>
      <c r="AA25" s="61"/>
      <c r="AB25" s="61">
        <v>1028.7753889999999</v>
      </c>
      <c r="AC25" s="61"/>
      <c r="AD25" s="61"/>
    </row>
    <row r="26" spans="1:30">
      <c r="A26" s="81"/>
      <c r="B26" s="69" t="s">
        <v>157</v>
      </c>
      <c r="C26" s="83"/>
      <c r="D26" s="61">
        <v>249.32362433366609</v>
      </c>
      <c r="E26" s="61">
        <v>61.324233525882562</v>
      </c>
      <c r="F26" s="61">
        <v>58.607259784513147</v>
      </c>
      <c r="G26" s="61">
        <v>312.03138689476617</v>
      </c>
      <c r="H26" s="61">
        <v>81.298522040531282</v>
      </c>
      <c r="I26" s="61">
        <v>78.70898078010417</v>
      </c>
      <c r="J26" s="61">
        <v>341.12925060709824</v>
      </c>
      <c r="K26" s="61">
        <v>91.847285504679135</v>
      </c>
      <c r="L26" s="61">
        <v>89.783937574917474</v>
      </c>
      <c r="M26" s="61">
        <v>393.13759024369563</v>
      </c>
      <c r="N26" s="61">
        <v>114.1180265812786</v>
      </c>
      <c r="O26" s="61">
        <v>114.03101199080596</v>
      </c>
      <c r="P26" s="61">
        <v>451.40075060235489</v>
      </c>
      <c r="Q26" s="61">
        <v>153.79412616506505</v>
      </c>
      <c r="R26" s="61">
        <v>155.30771912364401</v>
      </c>
      <c r="S26" s="61">
        <v>477.09324767970264</v>
      </c>
      <c r="T26" s="61"/>
      <c r="U26" s="61"/>
      <c r="V26" s="61">
        <v>528.86639894079326</v>
      </c>
      <c r="W26" s="61"/>
      <c r="X26" s="61"/>
      <c r="Y26" s="61">
        <v>749.10618875565137</v>
      </c>
      <c r="Z26" s="61"/>
      <c r="AA26" s="61"/>
      <c r="AB26" s="61">
        <v>1028.7753767266167</v>
      </c>
      <c r="AC26" s="61"/>
      <c r="AD26" s="61"/>
    </row>
    <row r="27" spans="1:30">
      <c r="A27" s="81"/>
      <c r="B27" s="69" t="s">
        <v>158</v>
      </c>
      <c r="C27" s="83"/>
      <c r="D27" s="61">
        <v>57.717393048389901</v>
      </c>
      <c r="E27" s="61">
        <v>57.717393048389901</v>
      </c>
      <c r="F27" s="61">
        <v>57.717393048389901</v>
      </c>
      <c r="G27" s="61">
        <v>77.557746908773922</v>
      </c>
      <c r="H27" s="61">
        <v>77.557746908773922</v>
      </c>
      <c r="I27" s="61">
        <v>77.557746908773922</v>
      </c>
      <c r="J27" s="61">
        <v>88.43767406740821</v>
      </c>
      <c r="K27" s="61">
        <v>88.43767406740821</v>
      </c>
      <c r="L27" s="61">
        <v>88.43767406740821</v>
      </c>
      <c r="M27" s="61">
        <v>112.35696639867186</v>
      </c>
      <c r="N27" s="61">
        <v>112.35696639867186</v>
      </c>
      <c r="O27" s="61">
        <v>112.35696639867186</v>
      </c>
      <c r="P27" s="61">
        <v>153.56003655076213</v>
      </c>
      <c r="Q27" s="61">
        <v>153.56003655076213</v>
      </c>
      <c r="R27" s="61">
        <v>153.56003655076213</v>
      </c>
      <c r="S27" s="61">
        <v>214.12358544901531</v>
      </c>
      <c r="T27" s="61"/>
      <c r="U27" s="61"/>
      <c r="V27" s="61">
        <v>283.95368827705585</v>
      </c>
      <c r="W27" s="61"/>
      <c r="X27" s="61"/>
      <c r="Y27" s="61">
        <v>451.08260736786377</v>
      </c>
      <c r="Z27" s="61"/>
      <c r="AA27" s="61"/>
      <c r="AB27" s="61">
        <v>565.25978971702955</v>
      </c>
      <c r="AC27" s="61"/>
      <c r="AD27" s="61"/>
    </row>
    <row r="28" spans="1:30" ht="16.5" customHeight="1">
      <c r="A28" s="84" t="s">
        <v>159</v>
      </c>
      <c r="B28" s="84"/>
      <c r="C28" s="83"/>
      <c r="D28" s="75" t="s">
        <v>168</v>
      </c>
      <c r="E28" s="75" t="s">
        <v>168</v>
      </c>
      <c r="F28" s="75" t="s">
        <v>168</v>
      </c>
      <c r="G28" s="75" t="s">
        <v>169</v>
      </c>
      <c r="H28" s="75" t="s">
        <v>168</v>
      </c>
      <c r="I28" s="75" t="s">
        <v>168</v>
      </c>
      <c r="J28" s="75" t="s">
        <v>169</v>
      </c>
      <c r="K28" s="75" t="s">
        <v>168</v>
      </c>
      <c r="L28" s="75" t="s">
        <v>168</v>
      </c>
      <c r="M28" s="75" t="s">
        <v>169</v>
      </c>
      <c r="N28" s="75" t="s">
        <v>168</v>
      </c>
      <c r="O28" s="75" t="s">
        <v>168</v>
      </c>
      <c r="P28" s="75" t="s">
        <v>166</v>
      </c>
      <c r="Q28" s="75" t="s">
        <v>163</v>
      </c>
      <c r="R28" s="75" t="s">
        <v>163</v>
      </c>
      <c r="S28" s="75" t="s">
        <v>166</v>
      </c>
      <c r="T28" s="74"/>
      <c r="U28" s="74"/>
      <c r="V28" s="75" t="s">
        <v>166</v>
      </c>
      <c r="W28" s="75"/>
      <c r="X28" s="74"/>
      <c r="Y28" s="75" t="s">
        <v>166</v>
      </c>
      <c r="Z28" s="74"/>
      <c r="AA28" s="74"/>
      <c r="AB28" s="75" t="s">
        <v>166</v>
      </c>
      <c r="AC28" s="74"/>
      <c r="AD28" s="61"/>
    </row>
    <row r="29" spans="1:30" ht="7.5" customHeight="1">
      <c r="A29" s="70"/>
      <c r="B29" s="70"/>
      <c r="C29" s="7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</row>
    <row r="30" spans="1:30">
      <c r="C30" s="73"/>
      <c r="D30" s="82">
        <f>0/160</f>
        <v>0</v>
      </c>
      <c r="E30" s="82"/>
      <c r="F30" s="82"/>
      <c r="G30" s="82">
        <f>20/160</f>
        <v>0.125</v>
      </c>
      <c r="H30" s="82"/>
      <c r="I30" s="82"/>
      <c r="J30" s="82">
        <f>30/160</f>
        <v>0.1875</v>
      </c>
      <c r="K30" s="82"/>
      <c r="L30" s="82"/>
      <c r="M30" s="82">
        <f>50/160</f>
        <v>0.3125</v>
      </c>
      <c r="N30" s="82"/>
      <c r="O30" s="82"/>
      <c r="P30" s="82">
        <f>80/160</f>
        <v>0.5</v>
      </c>
      <c r="Q30" s="82"/>
      <c r="R30" s="82"/>
      <c r="S30" s="82">
        <f>120/160</f>
        <v>0.75</v>
      </c>
      <c r="T30" s="82"/>
      <c r="U30" s="82"/>
      <c r="V30" s="82">
        <f>160/160</f>
        <v>1</v>
      </c>
      <c r="W30" s="82"/>
      <c r="X30" s="82"/>
      <c r="Y30" s="83">
        <f>240/160</f>
        <v>1.5</v>
      </c>
      <c r="Z30" s="83"/>
      <c r="AA30" s="83"/>
      <c r="AB30" s="83">
        <f>320/160</f>
        <v>2</v>
      </c>
      <c r="AC30" s="83"/>
      <c r="AD30" s="83"/>
    </row>
    <row r="31" spans="1:30">
      <c r="A31" s="84" t="s">
        <v>160</v>
      </c>
      <c r="B31" s="84"/>
      <c r="C31" s="82">
        <v>2</v>
      </c>
      <c r="D31" s="61">
        <v>-153.17128400000001</v>
      </c>
      <c r="E31" s="61">
        <v>-3.7668499999999998</v>
      </c>
      <c r="F31" s="61">
        <v>3.6630880000000001</v>
      </c>
      <c r="G31" s="61">
        <v>-131.31054</v>
      </c>
      <c r="H31" s="61">
        <v>15.13992</v>
      </c>
      <c r="I31" s="61">
        <v>24.097984</v>
      </c>
      <c r="J31" s="61">
        <v>-122.09946100000001</v>
      </c>
      <c r="K31" s="61">
        <v>25.131276</v>
      </c>
      <c r="L31" s="61">
        <v>33.809572000000003</v>
      </c>
      <c r="M31" s="61">
        <v>-105.43083</v>
      </c>
      <c r="N31" s="61">
        <v>46.457301000000001</v>
      </c>
      <c r="O31" s="61">
        <v>52.518050000000002</v>
      </c>
      <c r="P31" s="61">
        <v>-82.831560999999994</v>
      </c>
      <c r="Q31" s="61">
        <v>79.999986000000007</v>
      </c>
      <c r="S31" s="61">
        <v>-54.234990000000003</v>
      </c>
      <c r="T31" s="61"/>
      <c r="U31" s="61"/>
      <c r="V31" s="61">
        <v>-24.965202000000001</v>
      </c>
      <c r="W31" s="61"/>
      <c r="X31" s="61"/>
      <c r="Y31" s="61">
        <v>35.913229999999999</v>
      </c>
      <c r="Z31" s="61"/>
      <c r="AA31" s="61"/>
      <c r="AB31" s="61">
        <v>86.080725000000001</v>
      </c>
      <c r="AC31" s="61"/>
      <c r="AD31" s="61"/>
    </row>
    <row r="32" spans="1:30">
      <c r="A32" s="80" t="s">
        <v>161</v>
      </c>
      <c r="B32" s="71" t="s">
        <v>156</v>
      </c>
      <c r="C32" s="82"/>
      <c r="D32" s="61">
        <v>248.37907200000001</v>
      </c>
      <c r="E32" s="61">
        <v>45.283738</v>
      </c>
      <c r="F32" s="61">
        <v>44.234895000000002</v>
      </c>
      <c r="G32" s="61">
        <v>322.75939</v>
      </c>
      <c r="H32" s="61">
        <v>59.578319</v>
      </c>
      <c r="I32" s="61">
        <v>59.332031999999998</v>
      </c>
      <c r="J32" s="61">
        <v>359.51307000000003</v>
      </c>
      <c r="K32" s="61">
        <v>67.493508000000006</v>
      </c>
      <c r="L32" s="61">
        <v>67.699983000000003</v>
      </c>
      <c r="M32" s="61">
        <v>430.57607899999999</v>
      </c>
      <c r="N32" s="61">
        <v>85.291195999999999</v>
      </c>
      <c r="O32" s="61">
        <v>86.169144000000003</v>
      </c>
      <c r="P32" s="61">
        <v>529.67060300000003</v>
      </c>
      <c r="Q32" s="61">
        <v>118.259981</v>
      </c>
      <c r="S32" s="61">
        <v>642.68689300000005</v>
      </c>
      <c r="T32" s="61"/>
      <c r="U32" s="61"/>
      <c r="V32" s="61">
        <v>724.58568000000002</v>
      </c>
      <c r="W32" s="61"/>
      <c r="X32" s="61"/>
      <c r="Y32" s="61">
        <v>828.22039600000005</v>
      </c>
      <c r="Z32" s="61"/>
      <c r="AA32" s="61"/>
      <c r="AB32" s="61">
        <v>1044.458785</v>
      </c>
      <c r="AC32" s="61"/>
      <c r="AD32" s="61"/>
    </row>
    <row r="33" spans="1:30">
      <c r="A33" s="81"/>
      <c r="B33" s="69" t="s">
        <v>157</v>
      </c>
      <c r="C33" s="82"/>
      <c r="D33" s="61">
        <v>248.37905325010001</v>
      </c>
      <c r="E33" s="61">
        <v>45.283687102454323</v>
      </c>
      <c r="F33" s="61">
        <v>44.234892861744783</v>
      </c>
      <c r="G33" s="61">
        <v>322.7593943612718</v>
      </c>
      <c r="H33" s="61">
        <v>59.57831983940963</v>
      </c>
      <c r="I33" s="61">
        <v>59.332039375458379</v>
      </c>
      <c r="J33" s="61">
        <v>359.51307183945949</v>
      </c>
      <c r="K33" s="61">
        <v>67.493503236975499</v>
      </c>
      <c r="L33" s="61">
        <v>67.699986802238982</v>
      </c>
      <c r="M33" s="61">
        <v>430.57605099510886</v>
      </c>
      <c r="N33" s="61">
        <v>85.291171518197444</v>
      </c>
      <c r="O33" s="61">
        <v>86.169139368658449</v>
      </c>
      <c r="P33" s="61">
        <v>529.67060574173752</v>
      </c>
      <c r="Q33" s="61">
        <v>121.93756415063049</v>
      </c>
      <c r="S33" s="61">
        <v>642.68689662155271</v>
      </c>
      <c r="T33" s="61"/>
      <c r="U33" s="61"/>
      <c r="V33" s="61">
        <v>724.58567586403694</v>
      </c>
      <c r="W33" s="61"/>
      <c r="X33" s="61"/>
      <c r="Y33" s="61">
        <v>828.22039626778565</v>
      </c>
      <c r="Z33" s="61"/>
      <c r="AA33" s="61"/>
      <c r="AB33" s="61">
        <v>1044.4587796062981</v>
      </c>
      <c r="AC33" s="61"/>
      <c r="AD33" s="61"/>
    </row>
    <row r="34" spans="1:30">
      <c r="A34" s="81"/>
      <c r="B34" s="69" t="s">
        <v>158</v>
      </c>
      <c r="C34" s="82"/>
      <c r="D34" s="61">
        <v>43.420424128146529</v>
      </c>
      <c r="E34" s="61">
        <v>43.420424128146529</v>
      </c>
      <c r="F34" s="61">
        <v>43.420424128146529</v>
      </c>
      <c r="G34" s="61">
        <v>58.213815580342782</v>
      </c>
      <c r="H34" s="61">
        <v>58.213815580342782</v>
      </c>
      <c r="I34" s="61">
        <v>58.213815580342782</v>
      </c>
      <c r="J34" s="61">
        <v>66.404787357565553</v>
      </c>
      <c r="K34" s="61">
        <v>66.404787357565553</v>
      </c>
      <c r="L34" s="61">
        <v>66.404787357565553</v>
      </c>
      <c r="M34" s="61">
        <v>84.474567520650936</v>
      </c>
      <c r="N34" s="61">
        <v>84.474567520650936</v>
      </c>
      <c r="O34" s="61">
        <v>84.474567520650936</v>
      </c>
      <c r="P34" s="61">
        <v>116.09668280605034</v>
      </c>
      <c r="Q34" s="61">
        <v>116.09668280605034</v>
      </c>
      <c r="S34" s="61">
        <v>163.48848718981998</v>
      </c>
      <c r="T34" s="61"/>
      <c r="U34" s="61"/>
      <c r="V34" s="61">
        <v>217.10212064073264</v>
      </c>
      <c r="W34" s="61"/>
      <c r="X34" s="61"/>
      <c r="Y34" s="61">
        <v>349.4814624948379</v>
      </c>
      <c r="Z34" s="61"/>
      <c r="AA34" s="61"/>
      <c r="AB34" s="61">
        <v>509.66046613830537</v>
      </c>
      <c r="AC34" s="61"/>
      <c r="AD34" s="61"/>
    </row>
    <row r="35" spans="1:30">
      <c r="A35" s="84" t="s">
        <v>159</v>
      </c>
      <c r="B35" s="84"/>
      <c r="C35" s="82"/>
      <c r="D35" s="75" t="s">
        <v>168</v>
      </c>
      <c r="E35" s="75" t="s">
        <v>168</v>
      </c>
      <c r="F35" s="75" t="s">
        <v>168</v>
      </c>
      <c r="G35" s="75" t="s">
        <v>169</v>
      </c>
      <c r="H35" s="75" t="s">
        <v>168</v>
      </c>
      <c r="I35" s="75" t="s">
        <v>168</v>
      </c>
      <c r="J35" s="75" t="s">
        <v>169</v>
      </c>
      <c r="K35" s="75" t="s">
        <v>168</v>
      </c>
      <c r="L35" s="75" t="s">
        <v>168</v>
      </c>
      <c r="M35" s="75" t="s">
        <v>169</v>
      </c>
      <c r="N35" s="75" t="s">
        <v>168</v>
      </c>
      <c r="O35" s="75" t="s">
        <v>168</v>
      </c>
      <c r="P35" s="75" t="s">
        <v>166</v>
      </c>
      <c r="Q35" s="75" t="s">
        <v>163</v>
      </c>
      <c r="R35" s="22"/>
      <c r="S35" s="75" t="s">
        <v>166</v>
      </c>
      <c r="T35" s="74"/>
      <c r="U35" s="74"/>
      <c r="V35" s="75" t="s">
        <v>166</v>
      </c>
      <c r="W35" s="75"/>
      <c r="X35" s="74"/>
      <c r="Y35" s="75" t="s">
        <v>166</v>
      </c>
      <c r="Z35" s="74"/>
      <c r="AA35" s="74"/>
      <c r="AB35" s="75" t="s">
        <v>166</v>
      </c>
      <c r="AC35" s="74"/>
      <c r="AD35" s="61"/>
    </row>
    <row r="36" spans="1:30" ht="7.5" customHeight="1">
      <c r="A36" s="70"/>
      <c r="B36" s="70"/>
      <c r="C36" s="73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</row>
    <row r="37" spans="1:30">
      <c r="C37" s="73"/>
      <c r="D37" s="82">
        <f>0/160</f>
        <v>0</v>
      </c>
      <c r="E37" s="82"/>
      <c r="F37" s="82"/>
      <c r="G37" s="82">
        <f>20/160</f>
        <v>0.125</v>
      </c>
      <c r="H37" s="82"/>
      <c r="I37" s="82"/>
      <c r="J37" s="82">
        <f>30/160</f>
        <v>0.1875</v>
      </c>
      <c r="K37" s="82"/>
      <c r="L37" s="82"/>
      <c r="M37" s="82">
        <f>50/160</f>
        <v>0.3125</v>
      </c>
      <c r="N37" s="82"/>
      <c r="O37" s="82"/>
      <c r="P37" s="82">
        <f>80/160</f>
        <v>0.5</v>
      </c>
      <c r="Q37" s="82"/>
      <c r="R37" s="82"/>
      <c r="S37" s="82">
        <f>120/160</f>
        <v>0.75</v>
      </c>
      <c r="T37" s="82"/>
      <c r="U37" s="82"/>
      <c r="V37" s="82">
        <f>160/160</f>
        <v>1</v>
      </c>
      <c r="W37" s="82"/>
      <c r="X37" s="82"/>
      <c r="Y37" s="83">
        <f>240/160</f>
        <v>1.5</v>
      </c>
      <c r="Z37" s="83"/>
      <c r="AA37" s="83"/>
      <c r="AB37" s="83">
        <f>320/160</f>
        <v>2</v>
      </c>
      <c r="AC37" s="83"/>
      <c r="AD37" s="83"/>
    </row>
    <row r="38" spans="1:30">
      <c r="A38" s="84" t="s">
        <v>160</v>
      </c>
      <c r="B38" s="84"/>
      <c r="C38" s="82">
        <v>3</v>
      </c>
      <c r="D38" s="61">
        <v>-235.65749099999999</v>
      </c>
      <c r="E38" s="61">
        <v>-2.3428360000000001</v>
      </c>
      <c r="F38" s="61">
        <v>2.31785</v>
      </c>
      <c r="G38" s="61">
        <v>-215.133196</v>
      </c>
      <c r="H38" s="61">
        <v>17.283161</v>
      </c>
      <c r="I38" s="61">
        <v>22.376394999999999</v>
      </c>
      <c r="J38" s="61">
        <v>-206.590341</v>
      </c>
      <c r="K38" s="61">
        <v>27.605457999999999</v>
      </c>
      <c r="L38" s="61">
        <v>31.973769999999998</v>
      </c>
      <c r="M38" s="61">
        <v>-191.25176400000001</v>
      </c>
      <c r="N38" s="61">
        <v>49.270828000000002</v>
      </c>
      <c r="O38" s="61">
        <v>50.553727000000002</v>
      </c>
      <c r="P38" s="61">
        <v>-170.76258000000001</v>
      </c>
      <c r="R38" s="61"/>
      <c r="S38" s="61">
        <v>-145.69528299999999</v>
      </c>
      <c r="T38" s="61"/>
      <c r="U38" s="61"/>
      <c r="V38" s="61">
        <v>-121.66436</v>
      </c>
      <c r="W38" s="61"/>
      <c r="X38" s="61"/>
      <c r="Y38" s="61">
        <v>-73.620007999999999</v>
      </c>
      <c r="Z38" s="61"/>
      <c r="AA38" s="61"/>
      <c r="AB38" s="61">
        <v>-21.839527</v>
      </c>
      <c r="AC38" s="61"/>
      <c r="AD38" s="61"/>
    </row>
    <row r="39" spans="1:30">
      <c r="A39" s="80" t="s">
        <v>161</v>
      </c>
      <c r="B39" s="71" t="s">
        <v>156</v>
      </c>
      <c r="C39" s="82"/>
      <c r="D39" s="61">
        <v>241.19533999999999</v>
      </c>
      <c r="E39" s="61">
        <v>29.909033000000001</v>
      </c>
      <c r="F39" s="61">
        <v>29.61909</v>
      </c>
      <c r="G39" s="61">
        <v>326.130989</v>
      </c>
      <c r="H39" s="61">
        <v>39.567703000000002</v>
      </c>
      <c r="I39" s="61">
        <v>39.671635000000002</v>
      </c>
      <c r="J39" s="61">
        <v>368.47600999999997</v>
      </c>
      <c r="K39" s="61">
        <v>45.282508999999997</v>
      </c>
      <c r="L39" s="61">
        <v>45.282508999999997</v>
      </c>
      <c r="M39" s="61">
        <v>452.56496600000003</v>
      </c>
      <c r="N39" s="61">
        <v>57.560327000000001</v>
      </c>
      <c r="O39" s="61">
        <v>57.765397999999998</v>
      </c>
      <c r="P39" s="61">
        <v>576.71999200000005</v>
      </c>
      <c r="R39" s="61"/>
      <c r="S39" s="61">
        <v>737.02037700000005</v>
      </c>
      <c r="T39" s="61"/>
      <c r="U39" s="61"/>
      <c r="V39" s="61">
        <v>889.13489600000003</v>
      </c>
      <c r="W39" s="61"/>
      <c r="X39" s="61"/>
      <c r="Y39" s="61">
        <v>1157.3244179999999</v>
      </c>
      <c r="Z39" s="61"/>
      <c r="AA39" s="61"/>
      <c r="AB39" s="61">
        <v>1346.7123280000001</v>
      </c>
      <c r="AC39" s="61"/>
      <c r="AD39" s="61"/>
    </row>
    <row r="40" spans="1:30">
      <c r="A40" s="81"/>
      <c r="B40" s="69" t="s">
        <v>157</v>
      </c>
      <c r="C40" s="82"/>
      <c r="D40" s="61">
        <v>241.19536518519965</v>
      </c>
      <c r="E40" s="61">
        <v>29.909033281493706</v>
      </c>
      <c r="F40" s="61">
        <v>29.619092586508344</v>
      </c>
      <c r="G40" s="61">
        <v>326.13098966554219</v>
      </c>
      <c r="H40" s="61">
        <v>39.567707304168906</v>
      </c>
      <c r="I40" s="61">
        <v>39.671635693245968</v>
      </c>
      <c r="J40" s="61">
        <v>368.47599159042659</v>
      </c>
      <c r="K40" s="61">
        <v>45.014390650591743</v>
      </c>
      <c r="L40" s="61">
        <v>45.282508975561953</v>
      </c>
      <c r="M40" s="61">
        <v>452.56504313479206</v>
      </c>
      <c r="N40" s="61">
        <v>57.560332419940252</v>
      </c>
      <c r="O40" s="61">
        <v>57.765388338169188</v>
      </c>
      <c r="P40" s="61">
        <v>576.72000437484076</v>
      </c>
      <c r="R40" s="61"/>
      <c r="S40" s="61">
        <v>737.02038201586515</v>
      </c>
      <c r="T40" s="61"/>
      <c r="U40" s="61"/>
      <c r="V40" s="61">
        <v>889.13491005615674</v>
      </c>
      <c r="W40" s="61"/>
      <c r="X40" s="61"/>
      <c r="Y40" s="61">
        <v>1157.3244151702283</v>
      </c>
      <c r="Z40" s="61"/>
      <c r="AA40" s="61"/>
      <c r="AB40" s="61">
        <v>1346.712332324925</v>
      </c>
      <c r="AC40" s="61"/>
      <c r="AD40" s="61"/>
    </row>
    <row r="41" spans="1:30">
      <c r="A41" s="81"/>
      <c r="B41" s="69" t="s">
        <v>158</v>
      </c>
      <c r="C41" s="82"/>
      <c r="D41" s="61">
        <v>28.991075866049055</v>
      </c>
      <c r="E41" s="61">
        <v>28.991075866049055</v>
      </c>
      <c r="F41" s="61">
        <v>28.991075866049055</v>
      </c>
      <c r="G41" s="61">
        <v>38.952621340570474</v>
      </c>
      <c r="H41" s="61">
        <v>38.952621340570474</v>
      </c>
      <c r="I41" s="61">
        <v>38.952621340570474</v>
      </c>
      <c r="J41" s="61">
        <v>44.330532103393509</v>
      </c>
      <c r="K41" s="61">
        <v>44.330532103393509</v>
      </c>
      <c r="L41" s="61">
        <v>44.330532103393509</v>
      </c>
      <c r="M41" s="61">
        <v>56.575621224898242</v>
      </c>
      <c r="N41" s="61">
        <v>56.575621224898242</v>
      </c>
      <c r="O41" s="61">
        <v>56.575621224898242</v>
      </c>
      <c r="P41" s="61">
        <v>78.236191035776216</v>
      </c>
      <c r="R41" s="61"/>
      <c r="S41" s="61">
        <v>110.73531946095906</v>
      </c>
      <c r="T41" s="61"/>
      <c r="U41" s="61"/>
      <c r="V41" s="61">
        <v>148.26486287659793</v>
      </c>
      <c r="W41" s="61"/>
      <c r="X41" s="61"/>
      <c r="Y41" s="61">
        <v>240.26850546520109</v>
      </c>
      <c r="Z41" s="61"/>
      <c r="AA41" s="61"/>
      <c r="AB41" s="61">
        <v>354.77663616900219</v>
      </c>
      <c r="AC41" s="61"/>
      <c r="AD41" s="61"/>
    </row>
    <row r="42" spans="1:30">
      <c r="A42" s="84" t="s">
        <v>159</v>
      </c>
      <c r="B42" s="84"/>
      <c r="C42" s="82"/>
      <c r="D42" s="75" t="s">
        <v>168</v>
      </c>
      <c r="E42" s="75" t="s">
        <v>168</v>
      </c>
      <c r="F42" s="75" t="s">
        <v>168</v>
      </c>
      <c r="G42" s="75" t="s">
        <v>169</v>
      </c>
      <c r="H42" s="75" t="s">
        <v>168</v>
      </c>
      <c r="I42" s="75" t="s">
        <v>168</v>
      </c>
      <c r="J42" s="75" t="s">
        <v>169</v>
      </c>
      <c r="K42" s="75" t="s">
        <v>168</v>
      </c>
      <c r="L42" s="75" t="s">
        <v>168</v>
      </c>
      <c r="M42" s="75" t="s">
        <v>169</v>
      </c>
      <c r="N42" s="75" t="s">
        <v>168</v>
      </c>
      <c r="O42" s="75" t="s">
        <v>168</v>
      </c>
      <c r="P42" s="75" t="s">
        <v>166</v>
      </c>
      <c r="Q42" s="22"/>
      <c r="R42" s="74"/>
      <c r="S42" s="75" t="s">
        <v>166</v>
      </c>
      <c r="T42" s="74"/>
      <c r="U42" s="74"/>
      <c r="V42" s="75" t="s">
        <v>166</v>
      </c>
      <c r="W42" s="75"/>
      <c r="X42" s="74"/>
      <c r="Y42" s="75" t="s">
        <v>166</v>
      </c>
      <c r="Z42" s="74"/>
      <c r="AA42" s="74"/>
      <c r="AB42" s="75" t="s">
        <v>166</v>
      </c>
      <c r="AC42" s="74"/>
      <c r="AD42" s="61"/>
    </row>
    <row r="43" spans="1:30" ht="7.5" customHeight="1">
      <c r="A43" s="70"/>
      <c r="B43" s="70"/>
      <c r="C43" s="73"/>
    </row>
    <row r="45" spans="1:30" ht="17.25" customHeight="1"/>
  </sheetData>
  <mergeCells count="80">
    <mergeCell ref="V37:X37"/>
    <mergeCell ref="Y37:AA37"/>
    <mergeCell ref="AB37:AD37"/>
    <mergeCell ref="A38:B38"/>
    <mergeCell ref="C38:C42"/>
    <mergeCell ref="A39:A41"/>
    <mergeCell ref="A42:B42"/>
    <mergeCell ref="D37:F37"/>
    <mergeCell ref="G37:I37"/>
    <mergeCell ref="J37:L37"/>
    <mergeCell ref="M37:O37"/>
    <mergeCell ref="P37:R37"/>
    <mergeCell ref="S37:U37"/>
    <mergeCell ref="V30:X30"/>
    <mergeCell ref="Y30:AA30"/>
    <mergeCell ref="AB30:AD30"/>
    <mergeCell ref="A31:B31"/>
    <mergeCell ref="C31:C35"/>
    <mergeCell ref="A32:A34"/>
    <mergeCell ref="A35:B35"/>
    <mergeCell ref="D30:F30"/>
    <mergeCell ref="G30:I30"/>
    <mergeCell ref="J30:L30"/>
    <mergeCell ref="M30:O30"/>
    <mergeCell ref="P30:R30"/>
    <mergeCell ref="S30:U30"/>
    <mergeCell ref="V23:X23"/>
    <mergeCell ref="Y23:AA23"/>
    <mergeCell ref="AB23:AD23"/>
    <mergeCell ref="A24:B24"/>
    <mergeCell ref="C24:C28"/>
    <mergeCell ref="A25:A27"/>
    <mergeCell ref="A28:B28"/>
    <mergeCell ref="D23:F23"/>
    <mergeCell ref="G23:I23"/>
    <mergeCell ref="J23:L23"/>
    <mergeCell ref="M23:O23"/>
    <mergeCell ref="P23:R23"/>
    <mergeCell ref="S23:U23"/>
    <mergeCell ref="V16:X16"/>
    <mergeCell ref="Y16:AA16"/>
    <mergeCell ref="AB16:AD16"/>
    <mergeCell ref="A17:B17"/>
    <mergeCell ref="C17:C21"/>
    <mergeCell ref="A18:A20"/>
    <mergeCell ref="A21:B21"/>
    <mergeCell ref="D16:F16"/>
    <mergeCell ref="G16:I16"/>
    <mergeCell ref="J16:L16"/>
    <mergeCell ref="M16:O16"/>
    <mergeCell ref="P16:R16"/>
    <mergeCell ref="S16:U16"/>
    <mergeCell ref="S9:U9"/>
    <mergeCell ref="V9:X9"/>
    <mergeCell ref="Y9:AA9"/>
    <mergeCell ref="AB9:AD9"/>
    <mergeCell ref="A10:B10"/>
    <mergeCell ref="C10:C14"/>
    <mergeCell ref="A11:A13"/>
    <mergeCell ref="A14:B14"/>
    <mergeCell ref="D9:F9"/>
    <mergeCell ref="G9:I9"/>
    <mergeCell ref="J9:L9"/>
    <mergeCell ref="M9:O9"/>
    <mergeCell ref="P9:R9"/>
    <mergeCell ref="AB2:AD2"/>
    <mergeCell ref="A3:B3"/>
    <mergeCell ref="C3:C7"/>
    <mergeCell ref="A4:A6"/>
    <mergeCell ref="A7:B7"/>
    <mergeCell ref="C1:C2"/>
    <mergeCell ref="D1:AD1"/>
    <mergeCell ref="D2:F2"/>
    <mergeCell ref="G2:I2"/>
    <mergeCell ref="J2:L2"/>
    <mergeCell ref="M2:O2"/>
    <mergeCell ref="P2:R2"/>
    <mergeCell ref="S2:U2"/>
    <mergeCell ref="V2:X2"/>
    <mergeCell ref="Y2:AA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5"/>
  <sheetViews>
    <sheetView zoomScale="85" zoomScaleNormal="85" workbookViewId="0">
      <pane xSplit="1" ySplit="3" topLeftCell="B46" activePane="bottomRight" state="frozen"/>
      <selection pane="topRight" activeCell="B1" sqref="B1"/>
      <selection pane="bottomLeft" activeCell="A4" sqref="A4"/>
      <selection pane="bottomRight" activeCell="B52" sqref="A36:K93"/>
    </sheetView>
  </sheetViews>
  <sheetFormatPr defaultColWidth="9" defaultRowHeight="16.5" customHeight="1"/>
  <cols>
    <col min="1" max="1" width="22.375" style="29" customWidth="1"/>
    <col min="2" max="4" width="16.375" style="33" customWidth="1"/>
    <col min="5" max="7" width="16.375" style="48" customWidth="1"/>
    <col min="8" max="11" width="16.375" style="33" customWidth="1"/>
    <col min="12" max="12" width="15.5" style="31" bestFit="1" customWidth="1"/>
    <col min="13" max="13" width="12.375" style="31" bestFit="1" customWidth="1"/>
    <col min="14" max="16384" width="9" style="31"/>
  </cols>
  <sheetData>
    <row r="1" spans="1:12" ht="16.5" customHeight="1">
      <c r="B1" s="30"/>
      <c r="C1" s="30"/>
      <c r="D1" s="30"/>
      <c r="E1" s="45"/>
      <c r="F1" s="45"/>
      <c r="G1" s="45"/>
      <c r="H1" s="30"/>
      <c r="I1" s="30"/>
      <c r="J1" s="30"/>
      <c r="K1" s="30"/>
    </row>
    <row r="3" spans="1:12" ht="16.5" customHeight="1" thickBot="1">
      <c r="B3" s="32" t="s">
        <v>54</v>
      </c>
      <c r="C3" s="32" t="s">
        <v>55</v>
      </c>
      <c r="D3" s="32" t="s">
        <v>56</v>
      </c>
      <c r="E3" s="55" t="s">
        <v>57</v>
      </c>
      <c r="F3" s="55" t="s">
        <v>145</v>
      </c>
      <c r="G3" s="55" t="s">
        <v>58</v>
      </c>
      <c r="H3" s="32" t="s">
        <v>59</v>
      </c>
      <c r="I3" s="32" t="s">
        <v>60</v>
      </c>
      <c r="J3" s="32" t="s">
        <v>83</v>
      </c>
      <c r="K3" s="32" t="s">
        <v>84</v>
      </c>
    </row>
    <row r="4" spans="1:12" ht="16.5" customHeight="1" thickTop="1">
      <c r="A4" s="29" t="s">
        <v>150</v>
      </c>
      <c r="B4" s="43">
        <v>1.33</v>
      </c>
      <c r="C4" s="43">
        <f>B4</f>
        <v>1.33</v>
      </c>
      <c r="D4" s="43">
        <f t="shared" ref="D4:J4" si="0">C4</f>
        <v>1.33</v>
      </c>
      <c r="E4" s="43">
        <f t="shared" si="0"/>
        <v>1.33</v>
      </c>
      <c r="F4" s="43">
        <f t="shared" si="0"/>
        <v>1.33</v>
      </c>
      <c r="G4" s="43">
        <f t="shared" si="0"/>
        <v>1.33</v>
      </c>
      <c r="H4" s="43">
        <f t="shared" si="0"/>
        <v>1.33</v>
      </c>
      <c r="I4" s="43">
        <f t="shared" si="0"/>
        <v>1.33</v>
      </c>
      <c r="J4" s="43">
        <f t="shared" si="0"/>
        <v>1.33</v>
      </c>
      <c r="K4" s="43">
        <v>1.33</v>
      </c>
    </row>
    <row r="5" spans="1:12" ht="16.5" customHeight="1" thickBot="1">
      <c r="A5" s="40" t="s">
        <v>62</v>
      </c>
      <c r="B5" s="40"/>
      <c r="C5" s="40"/>
      <c r="D5" s="40"/>
      <c r="E5" s="47"/>
      <c r="F5" s="47"/>
      <c r="G5" s="47"/>
      <c r="H5" s="40"/>
      <c r="I5" s="40"/>
      <c r="J5" s="40"/>
      <c r="K5" s="40"/>
    </row>
    <row r="6" spans="1:12" ht="16.5" customHeight="1" thickTop="1">
      <c r="A6" s="29" t="s">
        <v>87</v>
      </c>
      <c r="B6" s="33">
        <v>3600</v>
      </c>
      <c r="C6" s="33">
        <v>3500</v>
      </c>
      <c r="D6" s="33">
        <f>C6</f>
        <v>3500</v>
      </c>
      <c r="E6" s="48">
        <f>C6</f>
        <v>3500</v>
      </c>
      <c r="F6" s="48">
        <f>D6</f>
        <v>3500</v>
      </c>
      <c r="G6" s="48">
        <f>C6</f>
        <v>3500</v>
      </c>
      <c r="H6" s="33">
        <f>C6</f>
        <v>3500</v>
      </c>
      <c r="I6" s="33">
        <f>C6</f>
        <v>3500</v>
      </c>
      <c r="J6" s="33">
        <f>1905*2</f>
        <v>3810</v>
      </c>
      <c r="K6" s="33">
        <f>J6</f>
        <v>3810</v>
      </c>
    </row>
    <row r="7" spans="1:12" ht="16.5" customHeight="1">
      <c r="A7" s="29" t="s">
        <v>88</v>
      </c>
      <c r="B7" s="33">
        <v>7200</v>
      </c>
      <c r="C7" s="33">
        <f>3800*2</f>
        <v>7600</v>
      </c>
      <c r="D7" s="33">
        <f>C7</f>
        <v>7600</v>
      </c>
      <c r="E7" s="33">
        <f>D7</f>
        <v>7600</v>
      </c>
      <c r="F7" s="33">
        <f>E7</f>
        <v>7600</v>
      </c>
      <c r="G7" s="33">
        <f>F7</f>
        <v>7600</v>
      </c>
      <c r="H7" s="33">
        <f>G7</f>
        <v>7600</v>
      </c>
      <c r="I7" s="33">
        <f>H7</f>
        <v>7600</v>
      </c>
      <c r="J7" s="33">
        <f>2112/240*25.4*12*2+229*2+762+76*2</f>
        <v>6736.4800000000005</v>
      </c>
      <c r="K7" s="33">
        <f>591/63*25.4*12*2+127*2+406+76*2</f>
        <v>6530.6285714285714</v>
      </c>
    </row>
    <row r="8" spans="1:12" ht="16.5" customHeight="1">
      <c r="A8" s="29" t="s">
        <v>89</v>
      </c>
      <c r="B8" s="33">
        <v>75</v>
      </c>
      <c r="C8" s="33">
        <f>B8</f>
        <v>75</v>
      </c>
      <c r="D8" s="33">
        <f>B8</f>
        <v>75</v>
      </c>
      <c r="E8" s="48">
        <f>B8</f>
        <v>75</v>
      </c>
      <c r="F8" s="48">
        <f>C8</f>
        <v>75</v>
      </c>
      <c r="G8" s="48">
        <f>B8</f>
        <v>75</v>
      </c>
      <c r="H8" s="33">
        <f>B8</f>
        <v>75</v>
      </c>
      <c r="I8" s="33">
        <f>B8</f>
        <v>75</v>
      </c>
      <c r="J8" s="33">
        <v>76</v>
      </c>
      <c r="K8" s="33">
        <f>J8</f>
        <v>76</v>
      </c>
    </row>
    <row r="9" spans="1:12" ht="16.5" customHeight="1">
      <c r="A9" s="29" t="s">
        <v>90</v>
      </c>
      <c r="B9" s="33">
        <f t="shared" ref="B9:K9" si="1">B7-2*B8</f>
        <v>7050</v>
      </c>
      <c r="C9" s="33">
        <f t="shared" si="1"/>
        <v>7450</v>
      </c>
      <c r="D9" s="33">
        <f t="shared" si="1"/>
        <v>7450</v>
      </c>
      <c r="E9" s="48">
        <f t="shared" si="1"/>
        <v>7450</v>
      </c>
      <c r="F9" s="48">
        <f>F7-2*F8</f>
        <v>7450</v>
      </c>
      <c r="G9" s="48">
        <f t="shared" si="1"/>
        <v>7450</v>
      </c>
      <c r="H9" s="33">
        <f t="shared" si="1"/>
        <v>7450</v>
      </c>
      <c r="I9" s="33">
        <f t="shared" si="1"/>
        <v>7450</v>
      </c>
      <c r="J9" s="33">
        <f t="shared" si="1"/>
        <v>6584.4800000000005</v>
      </c>
      <c r="K9" s="33">
        <f t="shared" si="1"/>
        <v>6378.6285714285714</v>
      </c>
      <c r="L9" s="44"/>
    </row>
    <row r="10" spans="1:12" ht="16.5" customHeight="1" thickBot="1">
      <c r="A10" s="39" t="s">
        <v>64</v>
      </c>
      <c r="B10" s="39"/>
      <c r="C10" s="39"/>
      <c r="D10" s="39"/>
      <c r="E10" s="49"/>
      <c r="F10" s="49"/>
      <c r="G10" s="49"/>
      <c r="H10" s="39"/>
      <c r="I10" s="39"/>
      <c r="J10" s="39"/>
      <c r="K10" s="39"/>
      <c r="L10" s="44"/>
    </row>
    <row r="11" spans="1:12" ht="16.5" customHeight="1">
      <c r="A11" s="29" t="s">
        <v>91</v>
      </c>
      <c r="B11" s="33">
        <v>600</v>
      </c>
      <c r="C11" s="33">
        <v>400</v>
      </c>
      <c r="D11" s="33">
        <v>500</v>
      </c>
      <c r="E11" s="48">
        <v>600</v>
      </c>
      <c r="F11" s="48">
        <v>588</v>
      </c>
      <c r="G11" s="48">
        <v>700</v>
      </c>
      <c r="H11" s="33">
        <v>800</v>
      </c>
      <c r="I11" s="33">
        <v>900</v>
      </c>
      <c r="J11" s="33">
        <f>25.4*35.9</f>
        <v>911.8599999999999</v>
      </c>
      <c r="K11" s="33">
        <f>25.4*23.7</f>
        <v>601.9799999999999</v>
      </c>
    </row>
    <row r="12" spans="1:12" ht="16.5" customHeight="1">
      <c r="A12" s="29" t="s">
        <v>92</v>
      </c>
      <c r="B12" s="33">
        <v>200</v>
      </c>
      <c r="C12" s="33">
        <v>200</v>
      </c>
      <c r="D12" s="33">
        <v>200</v>
      </c>
      <c r="E12" s="48">
        <v>200</v>
      </c>
      <c r="F12" s="48">
        <v>300</v>
      </c>
      <c r="G12" s="48">
        <v>300</v>
      </c>
      <c r="H12" s="33">
        <v>300</v>
      </c>
      <c r="I12" s="33">
        <v>300</v>
      </c>
      <c r="J12" s="33">
        <f>25.4*12</f>
        <v>304.79999999999995</v>
      </c>
      <c r="K12" s="33">
        <f>25.4*7.04</f>
        <v>178.816</v>
      </c>
    </row>
    <row r="13" spans="1:12" ht="16.5" customHeight="1">
      <c r="A13" s="29" t="s">
        <v>93</v>
      </c>
      <c r="B13" s="33">
        <v>11</v>
      </c>
      <c r="C13" s="33">
        <v>8</v>
      </c>
      <c r="D13" s="33">
        <v>10</v>
      </c>
      <c r="E13" s="48">
        <v>11</v>
      </c>
      <c r="F13" s="48">
        <v>12</v>
      </c>
      <c r="G13" s="48">
        <v>13</v>
      </c>
      <c r="H13" s="33">
        <v>14</v>
      </c>
      <c r="I13" s="33">
        <v>16</v>
      </c>
      <c r="J13" s="33">
        <f>25.4*0.625</f>
        <v>15.875</v>
      </c>
      <c r="K13" s="33">
        <f>25.4*0.43</f>
        <v>10.921999999999999</v>
      </c>
    </row>
    <row r="14" spans="1:12" ht="16.5" customHeight="1">
      <c r="A14" s="29" t="s">
        <v>94</v>
      </c>
      <c r="B14" s="33">
        <v>17</v>
      </c>
      <c r="C14" s="33">
        <v>13</v>
      </c>
      <c r="D14" s="33">
        <v>16</v>
      </c>
      <c r="E14" s="48">
        <v>17</v>
      </c>
      <c r="F14" s="48">
        <v>20</v>
      </c>
      <c r="G14" s="48">
        <v>24</v>
      </c>
      <c r="H14" s="33">
        <v>26</v>
      </c>
      <c r="I14" s="33">
        <v>28</v>
      </c>
      <c r="J14" s="33">
        <f>25.4*0.94</f>
        <v>23.875999999999998</v>
      </c>
      <c r="K14" s="33">
        <f>25.4*0.59</f>
        <v>14.985999999999999</v>
      </c>
    </row>
    <row r="15" spans="1:12" ht="16.5" customHeight="1">
      <c r="A15" s="29" t="s">
        <v>95</v>
      </c>
      <c r="B15" s="33">
        <v>22</v>
      </c>
      <c r="C15" s="33">
        <v>16</v>
      </c>
      <c r="D15" s="33">
        <v>20</v>
      </c>
      <c r="E15" s="48">
        <v>22</v>
      </c>
      <c r="F15" s="48">
        <v>28</v>
      </c>
      <c r="G15" s="48">
        <v>28</v>
      </c>
      <c r="H15" s="33">
        <v>28</v>
      </c>
      <c r="I15" s="33">
        <v>28</v>
      </c>
      <c r="J15" s="33">
        <f>25.4*(1.69-0.94)</f>
        <v>19.049999999999997</v>
      </c>
      <c r="K15" s="33">
        <f>25.4*(1.09-0.59)</f>
        <v>12.700000000000003</v>
      </c>
      <c r="L15" s="44"/>
    </row>
    <row r="16" spans="1:12" ht="16.5" customHeight="1">
      <c r="A16" s="29" t="s">
        <v>96</v>
      </c>
      <c r="B16" s="33">
        <v>2980000</v>
      </c>
      <c r="C16" s="33">
        <v>1330000</v>
      </c>
      <c r="D16" s="33">
        <v>2180000</v>
      </c>
      <c r="E16" s="48">
        <v>2980000</v>
      </c>
      <c r="F16" s="48">
        <v>4490000</v>
      </c>
      <c r="G16" s="48">
        <v>6460000</v>
      </c>
      <c r="H16" s="33">
        <v>8240000</v>
      </c>
      <c r="I16" s="33">
        <v>10500000</v>
      </c>
      <c r="J16" s="33">
        <f>25.4^3*581</f>
        <v>9520884.1839999985</v>
      </c>
      <c r="K16" s="33">
        <f>25.4^3*153</f>
        <v>2507220.7919999999</v>
      </c>
      <c r="L16" s="44"/>
    </row>
    <row r="17" spans="1:12" ht="16.5" customHeight="1">
      <c r="C17" s="33">
        <f>C16/C11</f>
        <v>3325</v>
      </c>
      <c r="D17" s="33">
        <f t="shared" ref="D17:K17" si="2">D16/D11</f>
        <v>4360</v>
      </c>
      <c r="E17" s="33">
        <f t="shared" si="2"/>
        <v>4966.666666666667</v>
      </c>
      <c r="F17" s="33">
        <f>F16/F11</f>
        <v>7636.0544217687075</v>
      </c>
      <c r="G17" s="33">
        <f t="shared" si="2"/>
        <v>9228.5714285714294</v>
      </c>
      <c r="H17" s="33">
        <f t="shared" si="2"/>
        <v>10300</v>
      </c>
      <c r="I17" s="33">
        <f t="shared" si="2"/>
        <v>11666.666666666666</v>
      </c>
      <c r="J17" s="33">
        <f t="shared" si="2"/>
        <v>10441.168802228412</v>
      </c>
      <c r="K17" s="33">
        <f t="shared" si="2"/>
        <v>4164.9569620253169</v>
      </c>
      <c r="L17" s="44"/>
    </row>
    <row r="18" spans="1:12" ht="16.5" customHeight="1">
      <c r="A18" s="29" t="s">
        <v>100</v>
      </c>
      <c r="B18" s="33">
        <v>13440</v>
      </c>
      <c r="C18" s="33">
        <v>8412</v>
      </c>
      <c r="D18" s="33">
        <v>11420</v>
      </c>
      <c r="E18" s="48">
        <v>13440</v>
      </c>
      <c r="F18" s="48">
        <v>19250</v>
      </c>
      <c r="G18" s="48">
        <v>23550</v>
      </c>
      <c r="H18" s="33">
        <v>26740</v>
      </c>
      <c r="I18" s="33">
        <v>30980</v>
      </c>
      <c r="L18" s="44"/>
    </row>
    <row r="19" spans="1:12" ht="16.5" customHeight="1">
      <c r="A19" s="29" t="s">
        <v>97</v>
      </c>
      <c r="B19" s="33">
        <f>B4*235</f>
        <v>312.55</v>
      </c>
      <c r="C19" s="33">
        <f t="shared" ref="C19:H19" si="3">C4*235</f>
        <v>312.55</v>
      </c>
      <c r="D19" s="33">
        <f t="shared" si="3"/>
        <v>312.55</v>
      </c>
      <c r="E19" s="33">
        <f t="shared" si="3"/>
        <v>312.55</v>
      </c>
      <c r="F19" s="33">
        <f t="shared" si="3"/>
        <v>312.55</v>
      </c>
      <c r="G19" s="33">
        <f t="shared" si="3"/>
        <v>312.55</v>
      </c>
      <c r="H19" s="33">
        <f t="shared" si="3"/>
        <v>312.55</v>
      </c>
      <c r="I19" s="33">
        <f>B19</f>
        <v>312.55</v>
      </c>
      <c r="J19" s="33">
        <f>1.33*345</f>
        <v>458.85</v>
      </c>
      <c r="K19" s="33">
        <f>J19</f>
        <v>458.85</v>
      </c>
    </row>
    <row r="20" spans="1:12" ht="16.5" customHeight="1" thickBot="1">
      <c r="A20" s="39" t="s">
        <v>66</v>
      </c>
      <c r="B20" s="39"/>
      <c r="C20" s="39"/>
      <c r="D20" s="39"/>
      <c r="E20" s="49"/>
      <c r="F20" s="49"/>
      <c r="G20" s="49"/>
      <c r="H20" s="39"/>
      <c r="I20" s="39"/>
      <c r="J20" s="39"/>
      <c r="K20" s="39"/>
    </row>
    <row r="21" spans="1:12" ht="16.5" customHeight="1">
      <c r="A21" s="29" t="s">
        <v>138</v>
      </c>
      <c r="B21" s="33">
        <v>428</v>
      </c>
      <c r="C21" s="33">
        <v>388</v>
      </c>
      <c r="D21" s="33">
        <v>394</v>
      </c>
      <c r="E21" s="48">
        <v>400</v>
      </c>
      <c r="F21" s="48">
        <v>400</v>
      </c>
      <c r="G21" s="48">
        <v>428</v>
      </c>
      <c r="H21" s="33">
        <v>458</v>
      </c>
      <c r="I21" s="33">
        <v>498</v>
      </c>
      <c r="J21" s="33">
        <f>25.4*18.3</f>
        <v>464.82</v>
      </c>
      <c r="K21" s="33">
        <f>25.4*15.2</f>
        <v>386.08</v>
      </c>
    </row>
    <row r="22" spans="1:12" ht="16.5" customHeight="1">
      <c r="A22" s="29" t="s">
        <v>92</v>
      </c>
      <c r="B22" s="33">
        <v>407</v>
      </c>
      <c r="C22" s="33">
        <v>402</v>
      </c>
      <c r="D22" s="33">
        <v>398</v>
      </c>
      <c r="E22" s="48">
        <v>400</v>
      </c>
      <c r="F22" s="48">
        <v>400</v>
      </c>
      <c r="G22" s="48">
        <v>407</v>
      </c>
      <c r="H22" s="33">
        <v>417</v>
      </c>
      <c r="I22" s="33">
        <v>432</v>
      </c>
      <c r="J22" s="33">
        <f>25.4*16.6</f>
        <v>421.64</v>
      </c>
      <c r="K22" s="33">
        <f>25.4*15.7</f>
        <v>398.78</v>
      </c>
    </row>
    <row r="23" spans="1:12" ht="16.5" customHeight="1">
      <c r="A23" s="29" t="s">
        <v>98</v>
      </c>
      <c r="B23" s="33">
        <v>20</v>
      </c>
      <c r="C23" s="33">
        <v>15</v>
      </c>
      <c r="D23" s="33">
        <v>11</v>
      </c>
      <c r="E23" s="48">
        <v>13</v>
      </c>
      <c r="F23" s="48">
        <v>13</v>
      </c>
      <c r="G23" s="48">
        <v>20</v>
      </c>
      <c r="H23" s="33">
        <v>30</v>
      </c>
      <c r="I23" s="33">
        <v>45</v>
      </c>
      <c r="J23" s="33">
        <f>25.4*1.77</f>
        <v>44.957999999999998</v>
      </c>
      <c r="K23" s="33">
        <f>25.4*0.83</f>
        <v>21.081999999999997</v>
      </c>
    </row>
    <row r="24" spans="1:12" ht="16.5" customHeight="1">
      <c r="A24" s="29" t="s">
        <v>99</v>
      </c>
      <c r="B24" s="33">
        <v>35</v>
      </c>
      <c r="C24" s="33">
        <v>15</v>
      </c>
      <c r="D24" s="33">
        <v>18</v>
      </c>
      <c r="E24" s="48">
        <v>21</v>
      </c>
      <c r="F24" s="48">
        <v>21</v>
      </c>
      <c r="G24" s="48">
        <v>35</v>
      </c>
      <c r="H24" s="33">
        <v>50</v>
      </c>
      <c r="I24" s="33">
        <v>70</v>
      </c>
      <c r="J24" s="33">
        <f>25.4*2.85</f>
        <v>72.39</v>
      </c>
      <c r="K24" s="33">
        <f>25.4*1.31</f>
        <v>33.274000000000001</v>
      </c>
    </row>
    <row r="25" spans="1:12" ht="16.5" customHeight="1">
      <c r="A25" s="29" t="s">
        <v>97</v>
      </c>
      <c r="B25" s="33">
        <v>325</v>
      </c>
      <c r="C25" s="33">
        <f>B25</f>
        <v>325</v>
      </c>
      <c r="D25" s="33">
        <f>B25</f>
        <v>325</v>
      </c>
      <c r="E25" s="48">
        <f>B25</f>
        <v>325</v>
      </c>
      <c r="F25" s="48">
        <f>C25</f>
        <v>325</v>
      </c>
      <c r="G25" s="48">
        <f>B25</f>
        <v>325</v>
      </c>
      <c r="H25" s="33">
        <f>B25</f>
        <v>325</v>
      </c>
      <c r="I25" s="33">
        <f>B25</f>
        <v>325</v>
      </c>
      <c r="J25" s="33">
        <f>345</f>
        <v>345</v>
      </c>
      <c r="K25" s="33">
        <f>J25</f>
        <v>345</v>
      </c>
    </row>
    <row r="26" spans="1:12" ht="16.5" customHeight="1" thickBot="1">
      <c r="A26" s="39" t="s">
        <v>68</v>
      </c>
      <c r="B26" s="39"/>
      <c r="C26" s="39"/>
      <c r="D26" s="39"/>
      <c r="E26" s="49"/>
      <c r="F26" s="49"/>
      <c r="G26" s="49"/>
      <c r="H26" s="39"/>
      <c r="I26" s="39"/>
      <c r="J26" s="39"/>
      <c r="K26" s="39"/>
    </row>
    <row r="27" spans="1:12" ht="16.5" customHeight="1">
      <c r="A27" s="29" t="s">
        <v>97</v>
      </c>
      <c r="B27" s="33">
        <f>B25</f>
        <v>325</v>
      </c>
      <c r="C27" s="33">
        <v>235</v>
      </c>
      <c r="D27" s="33">
        <f>C27</f>
        <v>235</v>
      </c>
      <c r="E27" s="48">
        <f>C27</f>
        <v>235</v>
      </c>
      <c r="F27" s="48">
        <f>C27</f>
        <v>235</v>
      </c>
      <c r="G27" s="48">
        <f>C27</f>
        <v>235</v>
      </c>
      <c r="H27" s="33">
        <f>C27</f>
        <v>235</v>
      </c>
      <c r="I27" s="33">
        <f>C27</f>
        <v>235</v>
      </c>
      <c r="J27" s="33">
        <v>345</v>
      </c>
      <c r="K27" s="33">
        <f>J27</f>
        <v>345</v>
      </c>
    </row>
    <row r="29" spans="1:12" ht="16.5" customHeight="1" thickBot="1">
      <c r="A29" s="39" t="s">
        <v>70</v>
      </c>
      <c r="B29" s="39"/>
      <c r="C29" s="39"/>
      <c r="D29" s="39"/>
      <c r="E29" s="49"/>
      <c r="F29" s="49"/>
      <c r="G29" s="49"/>
      <c r="H29" s="39"/>
      <c r="I29" s="39"/>
      <c r="J29" s="39"/>
      <c r="K29" s="39"/>
    </row>
    <row r="30" spans="1:12" ht="16.5" customHeight="1">
      <c r="A30" s="29" t="s">
        <v>132</v>
      </c>
      <c r="B30" s="33">
        <v>490</v>
      </c>
      <c r="C30" s="33">
        <v>490</v>
      </c>
      <c r="D30" s="33">
        <f t="shared" ref="D30:I30" si="4">C30</f>
        <v>490</v>
      </c>
      <c r="E30" s="33">
        <f t="shared" si="4"/>
        <v>490</v>
      </c>
      <c r="F30" s="33">
        <f t="shared" si="4"/>
        <v>490</v>
      </c>
      <c r="G30" s="33">
        <f t="shared" si="4"/>
        <v>490</v>
      </c>
      <c r="H30" s="33">
        <f t="shared" si="4"/>
        <v>490</v>
      </c>
      <c r="I30" s="33">
        <f t="shared" si="4"/>
        <v>490</v>
      </c>
      <c r="J30" s="33">
        <f>B30</f>
        <v>490</v>
      </c>
      <c r="K30" s="33">
        <f>J30</f>
        <v>490</v>
      </c>
    </row>
    <row r="31" spans="1:12" ht="16.5" customHeight="1" thickBot="1">
      <c r="A31" s="39" t="s">
        <v>71</v>
      </c>
      <c r="B31" s="39"/>
      <c r="C31" s="39"/>
      <c r="D31" s="39"/>
      <c r="E31" s="49"/>
      <c r="F31" s="49"/>
      <c r="G31" s="49"/>
      <c r="H31" s="39"/>
      <c r="I31" s="39"/>
      <c r="J31" s="39"/>
      <c r="K31" s="39"/>
    </row>
    <row r="32" spans="1:12" ht="16.5" customHeight="1">
      <c r="A32" s="29" t="s">
        <v>101</v>
      </c>
      <c r="B32" s="33">
        <f>0.4*9.8*10</f>
        <v>39.200000000000003</v>
      </c>
      <c r="C32" s="33">
        <v>0</v>
      </c>
      <c r="D32" s="33">
        <f t="shared" ref="D32:K32" si="5">C32</f>
        <v>0</v>
      </c>
      <c r="E32" s="48">
        <f t="shared" si="5"/>
        <v>0</v>
      </c>
      <c r="F32" s="48">
        <f t="shared" si="5"/>
        <v>0</v>
      </c>
      <c r="G32" s="48">
        <f t="shared" si="5"/>
        <v>0</v>
      </c>
      <c r="H32" s="33">
        <f t="shared" si="5"/>
        <v>0</v>
      </c>
      <c r="I32" s="33">
        <f t="shared" si="5"/>
        <v>0</v>
      </c>
      <c r="J32" s="33">
        <f t="shared" si="5"/>
        <v>0</v>
      </c>
      <c r="K32" s="33">
        <f t="shared" si="5"/>
        <v>0</v>
      </c>
    </row>
    <row r="33" spans="1:11" ht="16.5" customHeight="1">
      <c r="A33" s="29" t="s">
        <v>102</v>
      </c>
      <c r="B33" s="33">
        <f>0.9*9.8</f>
        <v>8.82</v>
      </c>
      <c r="C33" s="33">
        <v>0</v>
      </c>
      <c r="D33" s="33">
        <f>C33</f>
        <v>0</v>
      </c>
      <c r="E33" s="48">
        <f>C33</f>
        <v>0</v>
      </c>
      <c r="F33" s="48">
        <f>D33</f>
        <v>0</v>
      </c>
      <c r="G33" s="48">
        <f>C33</f>
        <v>0</v>
      </c>
      <c r="H33" s="33">
        <f>C33</f>
        <v>0</v>
      </c>
      <c r="I33" s="33">
        <f>C33</f>
        <v>0</v>
      </c>
      <c r="J33" s="33">
        <f>C33</f>
        <v>0</v>
      </c>
      <c r="K33" s="33">
        <f>C33</f>
        <v>0</v>
      </c>
    </row>
    <row r="34" spans="1:11" ht="16.5" customHeight="1">
      <c r="A34" s="29" t="s">
        <v>103</v>
      </c>
      <c r="B34" s="33">
        <f>B33*B40/2</f>
        <v>27783</v>
      </c>
      <c r="C34" s="33">
        <f t="shared" ref="C34:K34" si="6">C33*C40/2</f>
        <v>0</v>
      </c>
      <c r="D34" s="33">
        <f t="shared" si="6"/>
        <v>0</v>
      </c>
      <c r="E34" s="33">
        <f t="shared" si="6"/>
        <v>0</v>
      </c>
      <c r="F34" s="33">
        <f>F33*F40/2</f>
        <v>0</v>
      </c>
      <c r="G34" s="33">
        <f t="shared" si="6"/>
        <v>0</v>
      </c>
      <c r="H34" s="33">
        <f t="shared" si="6"/>
        <v>0</v>
      </c>
      <c r="I34" s="33">
        <f t="shared" si="6"/>
        <v>0</v>
      </c>
      <c r="J34" s="33">
        <f t="shared" si="6"/>
        <v>0</v>
      </c>
      <c r="K34" s="33">
        <f t="shared" si="6"/>
        <v>0</v>
      </c>
    </row>
    <row r="36" spans="1:11" ht="16.5" customHeight="1" thickBot="1">
      <c r="A36" s="40" t="s">
        <v>61</v>
      </c>
      <c r="B36" s="40"/>
      <c r="C36" s="40"/>
      <c r="D36" s="40"/>
      <c r="E36" s="47"/>
      <c r="F36" s="47"/>
      <c r="G36" s="47"/>
      <c r="H36" s="40"/>
      <c r="I36" s="40"/>
      <c r="J36" s="40"/>
      <c r="K36" s="40"/>
    </row>
    <row r="37" spans="1:11" ht="16.5" customHeight="1" thickTop="1">
      <c r="A37" s="29" t="s">
        <v>104</v>
      </c>
      <c r="B37" s="33">
        <f t="shared" ref="B37:I37" si="7">0.25*B11</f>
        <v>150</v>
      </c>
      <c r="C37" s="33">
        <f t="shared" si="7"/>
        <v>100</v>
      </c>
      <c r="D37" s="33">
        <f t="shared" si="7"/>
        <v>125</v>
      </c>
      <c r="E37" s="48">
        <f t="shared" si="7"/>
        <v>150</v>
      </c>
      <c r="F37" s="48">
        <f>0.25*F11</f>
        <v>147</v>
      </c>
      <c r="G37" s="48">
        <f t="shared" si="7"/>
        <v>175</v>
      </c>
      <c r="H37" s="33">
        <f t="shared" si="7"/>
        <v>200</v>
      </c>
      <c r="I37" s="33">
        <f t="shared" si="7"/>
        <v>225</v>
      </c>
      <c r="J37" s="33">
        <v>229</v>
      </c>
      <c r="K37" s="33">
        <v>127</v>
      </c>
    </row>
    <row r="38" spans="1:11" ht="16.5" customHeight="1">
      <c r="A38" s="29" t="s">
        <v>105</v>
      </c>
      <c r="B38" s="33">
        <f t="shared" ref="B38:I38" si="8">0.75*B11</f>
        <v>450</v>
      </c>
      <c r="C38" s="33">
        <f t="shared" si="8"/>
        <v>300</v>
      </c>
      <c r="D38" s="33">
        <f t="shared" si="8"/>
        <v>375</v>
      </c>
      <c r="E38" s="48">
        <f t="shared" si="8"/>
        <v>450</v>
      </c>
      <c r="F38" s="48">
        <f>0.75*F11</f>
        <v>441</v>
      </c>
      <c r="G38" s="48">
        <f t="shared" si="8"/>
        <v>525</v>
      </c>
      <c r="H38" s="33">
        <f t="shared" si="8"/>
        <v>600</v>
      </c>
      <c r="I38" s="33">
        <f t="shared" si="8"/>
        <v>675</v>
      </c>
      <c r="J38" s="33">
        <v>762</v>
      </c>
      <c r="K38" s="33">
        <v>406</v>
      </c>
    </row>
    <row r="39" spans="1:11" ht="16.5" customHeight="1" thickBot="1">
      <c r="A39" s="40" t="s">
        <v>63</v>
      </c>
      <c r="B39" s="40"/>
      <c r="C39" s="40"/>
      <c r="D39" s="40"/>
      <c r="E39" s="47"/>
      <c r="F39" s="47"/>
      <c r="G39" s="47"/>
      <c r="H39" s="40"/>
      <c r="I39" s="40"/>
      <c r="J39" s="40"/>
      <c r="K39" s="40"/>
    </row>
    <row r="40" spans="1:11" ht="16.5" customHeight="1" thickTop="1">
      <c r="A40" s="29" t="s">
        <v>106</v>
      </c>
      <c r="B40" s="33">
        <f t="shared" ref="B40:K40" si="9">B9-(2*B37+B38)</f>
        <v>6300</v>
      </c>
      <c r="C40" s="33">
        <f t="shared" si="9"/>
        <v>6950</v>
      </c>
      <c r="D40" s="33">
        <f t="shared" si="9"/>
        <v>6825</v>
      </c>
      <c r="E40" s="48">
        <f t="shared" si="9"/>
        <v>6700</v>
      </c>
      <c r="F40" s="48">
        <f>F9-(2*F37+F38)</f>
        <v>6715</v>
      </c>
      <c r="G40" s="48">
        <f t="shared" si="9"/>
        <v>6575</v>
      </c>
      <c r="H40" s="33">
        <f t="shared" si="9"/>
        <v>6450</v>
      </c>
      <c r="I40" s="33">
        <f t="shared" si="9"/>
        <v>6325</v>
      </c>
      <c r="J40" s="33">
        <f t="shared" si="9"/>
        <v>5364.4800000000005</v>
      </c>
      <c r="K40" s="33">
        <f t="shared" si="9"/>
        <v>5718.6285714285714</v>
      </c>
    </row>
    <row r="41" spans="1:11" ht="16.5" customHeight="1">
      <c r="A41" s="29" t="s">
        <v>107</v>
      </c>
      <c r="B41" s="33">
        <f t="shared" ref="B41:I41" si="10">(0.8*B16*B40/B9-B13*(B11/2-B14)^2)/(B14*(B11-B14))</f>
        <v>126.06235281237055</v>
      </c>
      <c r="C41" s="33">
        <f t="shared" si="10"/>
        <v>141.68924747104862</v>
      </c>
      <c r="D41" s="33">
        <f t="shared" si="10"/>
        <v>135.60579483055076</v>
      </c>
      <c r="E41" s="48">
        <f t="shared" si="10"/>
        <v>127.43628291796993</v>
      </c>
      <c r="F41" s="48">
        <f>(0.8*F16*F40/F9-F13*(F11/2-F14)^2)/(F14*(F11-F14))</f>
        <v>205.69625673504112</v>
      </c>
      <c r="G41" s="48">
        <f t="shared" si="10"/>
        <v>195.97091557126402</v>
      </c>
      <c r="H41" s="33">
        <f t="shared" si="10"/>
        <v>186.29019008322894</v>
      </c>
      <c r="I41" s="33">
        <f t="shared" si="10"/>
        <v>175.38497805377924</v>
      </c>
    </row>
    <row r="42" spans="1:11" ht="16.5" customHeight="1">
      <c r="A42" s="29" t="s">
        <v>108</v>
      </c>
      <c r="B42" s="33">
        <v>120</v>
      </c>
      <c r="C42" s="33">
        <v>120</v>
      </c>
      <c r="D42" s="33">
        <v>120</v>
      </c>
      <c r="E42" s="48">
        <v>120</v>
      </c>
      <c r="F42" s="48">
        <v>190</v>
      </c>
      <c r="G42" s="48">
        <v>190</v>
      </c>
      <c r="H42" s="33">
        <v>180</v>
      </c>
      <c r="I42" s="33">
        <v>170</v>
      </c>
      <c r="J42" s="33">
        <f>J12-2*76</f>
        <v>152.79999999999995</v>
      </c>
      <c r="K42" s="33">
        <f>K12-2*44</f>
        <v>90.816000000000003</v>
      </c>
    </row>
    <row r="43" spans="1:11" ht="16.5" customHeight="1">
      <c r="A43" s="29" t="s">
        <v>136</v>
      </c>
      <c r="B43" s="36">
        <f t="shared" ref="B43:I43" si="11">(B12-B42)/B12</f>
        <v>0.4</v>
      </c>
      <c r="C43" s="36">
        <f t="shared" si="11"/>
        <v>0.4</v>
      </c>
      <c r="D43" s="36">
        <f t="shared" si="11"/>
        <v>0.4</v>
      </c>
      <c r="E43" s="36">
        <f t="shared" si="11"/>
        <v>0.4</v>
      </c>
      <c r="F43" s="36">
        <f>(F12-F42)/F12</f>
        <v>0.36666666666666664</v>
      </c>
      <c r="G43" s="36">
        <f t="shared" si="11"/>
        <v>0.36666666666666664</v>
      </c>
      <c r="H43" s="36">
        <f t="shared" si="11"/>
        <v>0.4</v>
      </c>
      <c r="I43" s="36">
        <f t="shared" si="11"/>
        <v>0.43333333333333335</v>
      </c>
    </row>
    <row r="44" spans="1:11" ht="16.5" customHeight="1">
      <c r="A44" s="29" t="s">
        <v>109</v>
      </c>
      <c r="B44" s="33">
        <f t="shared" ref="B44:I44" si="12">1/2*B12</f>
        <v>100</v>
      </c>
      <c r="C44" s="33">
        <f t="shared" si="12"/>
        <v>100</v>
      </c>
      <c r="D44" s="33">
        <f t="shared" si="12"/>
        <v>100</v>
      </c>
      <c r="E44" s="48">
        <f t="shared" si="12"/>
        <v>100</v>
      </c>
      <c r="F44" s="48">
        <f>1/2*F12</f>
        <v>150</v>
      </c>
      <c r="G44" s="48">
        <f t="shared" si="12"/>
        <v>150</v>
      </c>
      <c r="H44" s="33">
        <f t="shared" si="12"/>
        <v>150</v>
      </c>
      <c r="I44" s="33">
        <f t="shared" si="12"/>
        <v>150</v>
      </c>
    </row>
    <row r="45" spans="1:11" ht="16.5" customHeight="1">
      <c r="A45" s="29" t="s">
        <v>110</v>
      </c>
      <c r="B45" s="33">
        <f t="shared" ref="B45:I45" si="13">0.65*B12</f>
        <v>130</v>
      </c>
      <c r="C45" s="33">
        <f t="shared" si="13"/>
        <v>130</v>
      </c>
      <c r="D45" s="33">
        <f t="shared" si="13"/>
        <v>130</v>
      </c>
      <c r="E45" s="48">
        <f t="shared" si="13"/>
        <v>130</v>
      </c>
      <c r="F45" s="48">
        <f>0.65*F12</f>
        <v>195</v>
      </c>
      <c r="G45" s="48">
        <f t="shared" si="13"/>
        <v>195</v>
      </c>
      <c r="H45" s="33">
        <f t="shared" si="13"/>
        <v>195</v>
      </c>
      <c r="I45" s="33">
        <f t="shared" si="13"/>
        <v>195</v>
      </c>
    </row>
    <row r="46" spans="1:11" ht="16.5" customHeight="1">
      <c r="A46" s="29" t="s">
        <v>65</v>
      </c>
      <c r="B46" s="34" t="str">
        <f>IF(B42&lt;B41,"OK","NG")</f>
        <v>OK</v>
      </c>
      <c r="C46" s="34" t="str">
        <f t="shared" ref="C46:I46" si="14">IF(C42&lt;C41,"OK","NG")</f>
        <v>OK</v>
      </c>
      <c r="D46" s="34" t="str">
        <f t="shared" si="14"/>
        <v>OK</v>
      </c>
      <c r="E46" s="50" t="str">
        <f t="shared" si="14"/>
        <v>OK</v>
      </c>
      <c r="F46" s="50" t="str">
        <f>IF(F42&lt;F41,"OK","NG")</f>
        <v>OK</v>
      </c>
      <c r="G46" s="50" t="str">
        <f t="shared" si="14"/>
        <v>OK</v>
      </c>
      <c r="H46" s="34" t="str">
        <f t="shared" si="14"/>
        <v>OK</v>
      </c>
      <c r="I46" s="34" t="str">
        <f t="shared" si="14"/>
        <v>OK</v>
      </c>
      <c r="J46" s="34"/>
      <c r="K46" s="34"/>
    </row>
    <row r="47" spans="1:11" ht="16.5" customHeight="1">
      <c r="A47" s="29" t="s">
        <v>65</v>
      </c>
      <c r="B47" s="34" t="str">
        <f>IF(B42&gt;B44,"OK","NG")</f>
        <v>OK</v>
      </c>
      <c r="C47" s="34" t="str">
        <f t="shared" ref="C47:I47" si="15">IF(C42&gt;C44,"OK","NG")</f>
        <v>OK</v>
      </c>
      <c r="D47" s="34" t="str">
        <f t="shared" si="15"/>
        <v>OK</v>
      </c>
      <c r="E47" s="50" t="str">
        <f t="shared" si="15"/>
        <v>OK</v>
      </c>
      <c r="F47" s="50" t="str">
        <f>IF(F42&gt;F44,"OK","NG")</f>
        <v>OK</v>
      </c>
      <c r="G47" s="50" t="str">
        <f t="shared" si="15"/>
        <v>OK</v>
      </c>
      <c r="H47" s="34" t="str">
        <f t="shared" si="15"/>
        <v>OK</v>
      </c>
      <c r="I47" s="34" t="str">
        <f t="shared" si="15"/>
        <v>OK</v>
      </c>
      <c r="J47" s="34"/>
      <c r="K47" s="34"/>
    </row>
    <row r="48" spans="1:11" ht="16.5" customHeight="1">
      <c r="A48" s="29" t="s">
        <v>65</v>
      </c>
      <c r="B48" s="34" t="str">
        <f>IF(B42&lt;B45,"OK","NG")</f>
        <v>OK</v>
      </c>
      <c r="C48" s="34" t="str">
        <f t="shared" ref="C48:I48" si="16">IF(C42&lt;C45,"OK","NG")</f>
        <v>OK</v>
      </c>
      <c r="D48" s="34" t="str">
        <f t="shared" si="16"/>
        <v>OK</v>
      </c>
      <c r="E48" s="50" t="str">
        <f t="shared" si="16"/>
        <v>OK</v>
      </c>
      <c r="F48" s="50" t="str">
        <f>IF(F42&lt;F45,"OK","NG")</f>
        <v>OK</v>
      </c>
      <c r="G48" s="50" t="str">
        <f t="shared" si="16"/>
        <v>OK</v>
      </c>
      <c r="H48" s="34" t="str">
        <f t="shared" si="16"/>
        <v>OK</v>
      </c>
      <c r="I48" s="34" t="str">
        <f t="shared" si="16"/>
        <v>OK</v>
      </c>
      <c r="J48" s="34"/>
      <c r="K48" s="34"/>
    </row>
    <row r="49" spans="1:13" ht="16.5" customHeight="1">
      <c r="A49" s="29" t="s">
        <v>111</v>
      </c>
      <c r="B49" s="33">
        <f t="shared" ref="B49:I49" si="17">(B12-B42)/2</f>
        <v>40</v>
      </c>
      <c r="C49" s="33">
        <f t="shared" si="17"/>
        <v>40</v>
      </c>
      <c r="D49" s="33">
        <f t="shared" si="17"/>
        <v>40</v>
      </c>
      <c r="E49" s="48">
        <f t="shared" si="17"/>
        <v>40</v>
      </c>
      <c r="F49" s="48">
        <f>(F12-F42)/2</f>
        <v>55</v>
      </c>
      <c r="G49" s="48">
        <f t="shared" si="17"/>
        <v>55</v>
      </c>
      <c r="H49" s="33">
        <f t="shared" si="17"/>
        <v>60</v>
      </c>
      <c r="I49" s="33">
        <f t="shared" si="17"/>
        <v>65</v>
      </c>
    </row>
    <row r="50" spans="1:13" ht="16.5" customHeight="1">
      <c r="A50" s="29" t="s">
        <v>112</v>
      </c>
      <c r="B50" s="33">
        <f t="shared" ref="B50:I50" si="18">(4*B49^2+B38^2)/8/B49</f>
        <v>652.8125</v>
      </c>
      <c r="C50" s="33">
        <f t="shared" si="18"/>
        <v>301.25</v>
      </c>
      <c r="D50" s="33">
        <f t="shared" si="18"/>
        <v>459.453125</v>
      </c>
      <c r="E50" s="48">
        <f t="shared" si="18"/>
        <v>652.8125</v>
      </c>
      <c r="F50" s="48">
        <f>(4*F49^2+F38^2)/8/F49</f>
        <v>469.50227272727273</v>
      </c>
      <c r="G50" s="48">
        <f t="shared" si="18"/>
        <v>653.9204545454545</v>
      </c>
      <c r="H50" s="33">
        <f t="shared" si="18"/>
        <v>780</v>
      </c>
      <c r="I50" s="33">
        <f t="shared" si="18"/>
        <v>908.70192307692309</v>
      </c>
    </row>
    <row r="51" spans="1:13" ht="16.5" customHeight="1">
      <c r="A51" s="29" t="s">
        <v>113</v>
      </c>
      <c r="B51" s="33">
        <f t="shared" ref="B51:I51" si="19">B42*B14*(B11-B14)+B13*(B11/2-B14)^2</f>
        <v>2070299</v>
      </c>
      <c r="C51" s="33">
        <f t="shared" si="19"/>
        <v>883472</v>
      </c>
      <c r="D51" s="33">
        <f t="shared" si="19"/>
        <v>1476840</v>
      </c>
      <c r="E51" s="48">
        <f t="shared" si="19"/>
        <v>2070299</v>
      </c>
      <c r="F51" s="48">
        <f>F42*F14*(F11-F14)+F13*(F11/2-F14)^2</f>
        <v>3059312</v>
      </c>
      <c r="G51" s="48">
        <f t="shared" si="19"/>
        <v>4464148</v>
      </c>
      <c r="H51" s="33">
        <f t="shared" si="19"/>
        <v>5580584</v>
      </c>
      <c r="I51" s="33">
        <f t="shared" si="19"/>
        <v>7000064</v>
      </c>
    </row>
    <row r="52" spans="1:13" ht="16.5" customHeight="1">
      <c r="A52" s="29" t="s">
        <v>137</v>
      </c>
      <c r="B52" s="36">
        <f>B51/B16</f>
        <v>0.69473120805369126</v>
      </c>
      <c r="C52" s="36">
        <f t="shared" ref="C52:I52" si="20">C51/C16</f>
        <v>0.66426466165413534</v>
      </c>
      <c r="D52" s="36">
        <f t="shared" si="20"/>
        <v>0.67744954128440371</v>
      </c>
      <c r="E52" s="36">
        <f t="shared" si="20"/>
        <v>0.69473120805369126</v>
      </c>
      <c r="F52" s="36">
        <f>F51/F16</f>
        <v>0.68136124721603564</v>
      </c>
      <c r="G52" s="36">
        <f t="shared" si="20"/>
        <v>0.69104458204334362</v>
      </c>
      <c r="H52" s="36">
        <f t="shared" si="20"/>
        <v>0.6772553398058252</v>
      </c>
      <c r="I52" s="36">
        <f t="shared" si="20"/>
        <v>0.66667276190476188</v>
      </c>
      <c r="L52" s="44"/>
    </row>
    <row r="53" spans="1:13" ht="16.5" customHeight="1">
      <c r="A53" s="29" t="s">
        <v>149</v>
      </c>
      <c r="B53" s="41">
        <f>(B16-B13*(B11-2*B14)^2/4)/B51</f>
        <v>1.0138733583892954</v>
      </c>
      <c r="C53" s="41">
        <f t="shared" ref="C53:I53" si="21">(C16-C13*(C11-2*C14)^2/4)/C51</f>
        <v>1.1887733850082403</v>
      </c>
      <c r="D53" s="41">
        <f t="shared" si="21"/>
        <v>1.1053600931719076</v>
      </c>
      <c r="E53" s="41">
        <f t="shared" si="21"/>
        <v>1.0138733583892954</v>
      </c>
      <c r="F53" s="41">
        <f t="shared" si="21"/>
        <v>1.1731683463471525</v>
      </c>
      <c r="G53" s="41">
        <f t="shared" si="21"/>
        <v>1.1375993806656948</v>
      </c>
      <c r="H53" s="41">
        <f t="shared" si="21"/>
        <v>1.1256413307281101</v>
      </c>
      <c r="I53" s="41">
        <f t="shared" si="21"/>
        <v>1.0929408645406671</v>
      </c>
      <c r="L53" s="44"/>
    </row>
    <row r="54" spans="1:13" ht="16.5" customHeight="1" thickBot="1">
      <c r="A54" s="40" t="s">
        <v>67</v>
      </c>
      <c r="B54" s="40"/>
      <c r="C54" s="40"/>
      <c r="D54" s="40"/>
      <c r="E54" s="47"/>
      <c r="F54" s="47"/>
      <c r="G54" s="47"/>
      <c r="H54" s="40"/>
      <c r="I54" s="40"/>
      <c r="J54" s="40"/>
      <c r="K54" s="40"/>
    </row>
    <row r="55" spans="1:13" ht="16.5" customHeight="1" thickTop="1">
      <c r="A55" s="29" t="s">
        <v>114</v>
      </c>
      <c r="B55" s="33">
        <f t="shared" ref="B55:I55" si="22">1.1*B51*B19/1000000</f>
        <v>711.77914769500012</v>
      </c>
      <c r="C55" s="33">
        <f t="shared" si="22"/>
        <v>303.74209096000004</v>
      </c>
      <c r="D55" s="33">
        <f t="shared" si="22"/>
        <v>507.74497620000011</v>
      </c>
      <c r="E55" s="48">
        <f t="shared" si="22"/>
        <v>711.77914769500012</v>
      </c>
      <c r="F55" s="48">
        <f>1.1*F51*F19/1000000</f>
        <v>1051.8067621600001</v>
      </c>
      <c r="G55" s="48">
        <f t="shared" si="22"/>
        <v>1534.7964031400004</v>
      </c>
      <c r="H55" s="33">
        <f t="shared" si="22"/>
        <v>1918.63268212</v>
      </c>
      <c r="I55" s="33">
        <f t="shared" si="22"/>
        <v>2406.6570035199998</v>
      </c>
      <c r="J55" s="33">
        <f>2863</f>
        <v>2863</v>
      </c>
      <c r="K55" s="33">
        <f>801</f>
        <v>801</v>
      </c>
      <c r="L55" s="33"/>
      <c r="M55" s="33"/>
    </row>
    <row r="56" spans="1:13" ht="16.5" customHeight="1">
      <c r="B56" s="33">
        <f>B55/B11</f>
        <v>1.1862985794916669</v>
      </c>
      <c r="C56" s="33">
        <f>C55/C11</f>
        <v>0.75935522740000005</v>
      </c>
      <c r="D56" s="33">
        <f t="shared" ref="D56:K56" si="23">D55/D11</f>
        <v>1.0154899524000003</v>
      </c>
      <c r="E56" s="33">
        <f t="shared" si="23"/>
        <v>1.1862985794916669</v>
      </c>
      <c r="F56" s="33">
        <f>F55/F11</f>
        <v>1.7887870104761905</v>
      </c>
      <c r="G56" s="33">
        <f t="shared" si="23"/>
        <v>2.1925662902000007</v>
      </c>
      <c r="H56" s="33">
        <f t="shared" si="23"/>
        <v>2.3982908526500002</v>
      </c>
      <c r="I56" s="33">
        <f t="shared" si="23"/>
        <v>2.6740633372444442</v>
      </c>
      <c r="J56" s="33">
        <f t="shared" si="23"/>
        <v>3.1397363630381858</v>
      </c>
      <c r="K56" s="33">
        <f t="shared" si="23"/>
        <v>1.3306089903319049</v>
      </c>
      <c r="L56" s="33"/>
      <c r="M56" s="33"/>
    </row>
    <row r="57" spans="1:13" ht="16.5" customHeight="1">
      <c r="A57" s="29" t="s">
        <v>115</v>
      </c>
      <c r="B57" s="35">
        <f t="shared" ref="B57:I57" si="24">(2*B55*1000000/B40+B34)/1000</f>
        <v>253.74463418888894</v>
      </c>
      <c r="C57" s="35">
        <f t="shared" si="24"/>
        <v>87.407795959712246</v>
      </c>
      <c r="D57" s="35">
        <f t="shared" si="24"/>
        <v>148.78973661538464</v>
      </c>
      <c r="E57" s="35">
        <f t="shared" si="24"/>
        <v>212.47138737164184</v>
      </c>
      <c r="F57" s="35">
        <f>(2*F55*1000000/F40+F34)/1000</f>
        <v>313.27081523752793</v>
      </c>
      <c r="G57" s="35">
        <f t="shared" si="24"/>
        <v>466.85822148745257</v>
      </c>
      <c r="H57" s="35">
        <f t="shared" si="24"/>
        <v>594.92486267286836</v>
      </c>
      <c r="I57" s="35">
        <f t="shared" si="24"/>
        <v>760.99826198260871</v>
      </c>
      <c r="J57" s="35">
        <f>1068</f>
        <v>1068</v>
      </c>
      <c r="K57" s="33">
        <f>280</f>
        <v>280</v>
      </c>
      <c r="L57" s="35"/>
      <c r="M57" s="33"/>
    </row>
    <row r="58" spans="1:13" ht="16.5" customHeight="1">
      <c r="B58" s="35">
        <f>B57/B11</f>
        <v>0.42290772364814821</v>
      </c>
      <c r="C58" s="35">
        <f>C57/C11</f>
        <v>0.21851948989928061</v>
      </c>
      <c r="D58" s="35">
        <f t="shared" ref="D58:K58" si="25">D57/D11</f>
        <v>0.29757947323076928</v>
      </c>
      <c r="E58" s="35">
        <f t="shared" si="25"/>
        <v>0.35411897895273642</v>
      </c>
      <c r="F58" s="35">
        <f>F57/F11</f>
        <v>0.5327734953019182</v>
      </c>
      <c r="G58" s="35">
        <f t="shared" si="25"/>
        <v>0.66694031641064655</v>
      </c>
      <c r="H58" s="35">
        <f t="shared" si="25"/>
        <v>0.74365607834108549</v>
      </c>
      <c r="I58" s="35">
        <f t="shared" si="25"/>
        <v>0.84555362442512083</v>
      </c>
      <c r="J58" s="35">
        <f t="shared" si="25"/>
        <v>1.1712324260303117</v>
      </c>
      <c r="K58" s="35">
        <f t="shared" si="25"/>
        <v>0.4651317319512277</v>
      </c>
      <c r="L58" s="35"/>
      <c r="M58" s="33"/>
    </row>
    <row r="59" spans="1:13" ht="16.5" customHeight="1">
      <c r="A59" s="29" t="s">
        <v>140</v>
      </c>
      <c r="B59" s="33">
        <f t="shared" ref="B59:K59" si="26">B55*1000/B57</f>
        <v>2805.1002929391907</v>
      </c>
      <c r="C59" s="33">
        <f t="shared" si="26"/>
        <v>3475</v>
      </c>
      <c r="D59" s="33">
        <f t="shared" si="26"/>
        <v>3412.5</v>
      </c>
      <c r="E59" s="33">
        <f t="shared" si="26"/>
        <v>3350</v>
      </c>
      <c r="F59" s="33">
        <f>F55*1000/F57</f>
        <v>3357.5000000000005</v>
      </c>
      <c r="G59" s="33">
        <f t="shared" si="26"/>
        <v>3287.5</v>
      </c>
      <c r="H59" s="33">
        <f t="shared" si="26"/>
        <v>3224.9999999999991</v>
      </c>
      <c r="I59" s="33">
        <f t="shared" si="26"/>
        <v>3162.4999999999995</v>
      </c>
      <c r="J59" s="33">
        <f t="shared" si="26"/>
        <v>2680.7116104868915</v>
      </c>
      <c r="K59" s="33">
        <f t="shared" si="26"/>
        <v>2860.7142857142858</v>
      </c>
      <c r="L59" s="35"/>
      <c r="M59" s="33"/>
    </row>
    <row r="60" spans="1:13" ht="16.5" customHeight="1" thickBot="1">
      <c r="A60" s="40" t="s">
        <v>85</v>
      </c>
      <c r="B60" s="40"/>
      <c r="C60" s="57"/>
      <c r="D60" s="57"/>
      <c r="E60" s="57"/>
      <c r="F60" s="57"/>
      <c r="G60" s="57"/>
      <c r="H60" s="57"/>
      <c r="I60" s="57"/>
      <c r="J60" s="57"/>
      <c r="K60" s="57"/>
    </row>
    <row r="61" spans="1:13" ht="16.5" customHeight="1" thickTop="1">
      <c r="A61" s="29" t="s">
        <v>116</v>
      </c>
      <c r="B61" s="33">
        <f t="shared" ref="B61:K61" si="27">B8+B37+B38/2</f>
        <v>450</v>
      </c>
      <c r="C61" s="33">
        <f t="shared" si="27"/>
        <v>325</v>
      </c>
      <c r="D61" s="33">
        <f t="shared" si="27"/>
        <v>387.5</v>
      </c>
      <c r="E61" s="48">
        <f t="shared" si="27"/>
        <v>450</v>
      </c>
      <c r="F61" s="48">
        <f>F8+F37+F38/2</f>
        <v>442.5</v>
      </c>
      <c r="G61" s="48">
        <f t="shared" si="27"/>
        <v>512.5</v>
      </c>
      <c r="H61" s="33">
        <f t="shared" si="27"/>
        <v>575</v>
      </c>
      <c r="I61" s="33">
        <f t="shared" si="27"/>
        <v>637.5</v>
      </c>
      <c r="J61" s="33">
        <f t="shared" si="27"/>
        <v>686</v>
      </c>
      <c r="K61" s="33">
        <f t="shared" si="27"/>
        <v>406</v>
      </c>
    </row>
    <row r="62" spans="1:13" ht="16.5" customHeight="1">
      <c r="A62" s="29" t="s">
        <v>139</v>
      </c>
      <c r="B62" s="33">
        <f t="shared" ref="B62:H62" si="28">(B55*1000+B57*B61)/1000</f>
        <v>825.9642330800001</v>
      </c>
      <c r="C62" s="33">
        <f t="shared" si="28"/>
        <v>332.14962464690655</v>
      </c>
      <c r="D62" s="33">
        <f t="shared" si="28"/>
        <v>565.40099913846166</v>
      </c>
      <c r="E62" s="33">
        <f t="shared" si="28"/>
        <v>807.39127201223903</v>
      </c>
      <c r="F62" s="33">
        <f>(F55*1000+F57*F61)/1000</f>
        <v>1190.4290979026061</v>
      </c>
      <c r="G62" s="33">
        <f t="shared" si="28"/>
        <v>1774.0612416523197</v>
      </c>
      <c r="H62" s="33">
        <f t="shared" si="28"/>
        <v>2260.7144781568991</v>
      </c>
      <c r="I62" s="33">
        <f>(I55*1000+I57*I61)/1000</f>
        <v>2891.7933955339126</v>
      </c>
      <c r="J62" s="33">
        <v>3594</v>
      </c>
      <c r="K62" s="33">
        <v>911</v>
      </c>
    </row>
    <row r="63" spans="1:13" ht="16.5" customHeight="1">
      <c r="A63" s="29" t="s">
        <v>135</v>
      </c>
      <c r="B63" s="36">
        <f>B62/(B16*B19)*1000000</f>
        <v>0.88679957040967405</v>
      </c>
      <c r="C63" s="36">
        <f t="shared" ref="C63:K63" si="29">C62/(C16*C19)*1000000</f>
        <v>0.79902914696813998</v>
      </c>
      <c r="D63" s="36">
        <f t="shared" si="29"/>
        <v>0.82981365056961398</v>
      </c>
      <c r="E63" s="36">
        <f t="shared" si="29"/>
        <v>0.86685864169087468</v>
      </c>
      <c r="F63" s="36">
        <f>F62/(F16*F19)*1000000</f>
        <v>0.84827699578943527</v>
      </c>
      <c r="G63" s="36">
        <f t="shared" si="29"/>
        <v>0.87865136211138462</v>
      </c>
      <c r="H63" s="36">
        <f t="shared" si="29"/>
        <v>0.87780692105065095</v>
      </c>
      <c r="I63" s="36">
        <f t="shared" si="29"/>
        <v>0.88116747660455474</v>
      </c>
      <c r="J63" s="36">
        <f t="shared" si="29"/>
        <v>0.82267832372395422</v>
      </c>
      <c r="K63" s="36">
        <f t="shared" si="29"/>
        <v>0.79187213373446563</v>
      </c>
    </row>
    <row r="64" spans="1:13" ht="16.5" customHeight="1">
      <c r="A64" s="29" t="s">
        <v>117</v>
      </c>
      <c r="B64" s="33">
        <f>2*(B62/(0.95*B11)-B70/B6)*1000</f>
        <v>2085.5263511281028</v>
      </c>
      <c r="C64" s="33">
        <f>(C62/(0.95*C11)-C70/C6)*1000</f>
        <v>785.57774457117091</v>
      </c>
      <c r="D64" s="33">
        <f t="shared" ref="D64:I64" si="30">(D62/(0.95*D11)-D70/D6)*1000</f>
        <v>1044.6011198475858</v>
      </c>
      <c r="E64" s="33">
        <f t="shared" si="30"/>
        <v>1215.2785204222889</v>
      </c>
      <c r="F64" s="33">
        <f>(F62/(0.95*F11)-F70/F6)*1000</f>
        <v>1833.2181888903892</v>
      </c>
      <c r="G64" s="33">
        <f t="shared" si="30"/>
        <v>2240.5459765625824</v>
      </c>
      <c r="H64" s="33">
        <f t="shared" si="30"/>
        <v>2449.0045547957434</v>
      </c>
      <c r="I64" s="33">
        <f t="shared" si="30"/>
        <v>2733.5582158786369</v>
      </c>
      <c r="J64" s="33">
        <f>3154</f>
        <v>3154</v>
      </c>
      <c r="K64" s="33">
        <f>1339</f>
        <v>1339</v>
      </c>
      <c r="L64" s="44"/>
    </row>
    <row r="65" spans="1:13" ht="16.5" customHeight="1">
      <c r="A65" s="29" t="s">
        <v>118</v>
      </c>
      <c r="B65" s="33">
        <f t="shared" ref="B65:I65" si="31">0.6*B25*B22*B24*2/1000</f>
        <v>5555.55</v>
      </c>
      <c r="C65" s="33">
        <f t="shared" si="31"/>
        <v>2351.6999999999998</v>
      </c>
      <c r="D65" s="33">
        <f t="shared" si="31"/>
        <v>2793.96</v>
      </c>
      <c r="E65" s="33">
        <f t="shared" si="31"/>
        <v>3276</v>
      </c>
      <c r="F65" s="33">
        <f>0.6*F25*F22*F24*2/1000</f>
        <v>3276</v>
      </c>
      <c r="G65" s="33">
        <f t="shared" si="31"/>
        <v>5555.55</v>
      </c>
      <c r="H65" s="33">
        <f t="shared" si="31"/>
        <v>8131.5</v>
      </c>
      <c r="I65" s="33">
        <f t="shared" si="31"/>
        <v>11793.6</v>
      </c>
      <c r="J65" s="33">
        <f>12600</f>
        <v>12600</v>
      </c>
      <c r="K65" s="33">
        <f>5471</f>
        <v>5471</v>
      </c>
      <c r="L65" s="44"/>
      <c r="M65" s="44"/>
    </row>
    <row r="66" spans="1:13" ht="16.5" customHeight="1">
      <c r="A66" s="29" t="s">
        <v>65</v>
      </c>
      <c r="B66" s="41" t="str">
        <f>IF(B65&gt;B64,ROUND(B65/B64,2)&amp;" - OK","NG")</f>
        <v>2.66 - OK</v>
      </c>
      <c r="C66" s="41" t="str">
        <f t="shared" ref="C66:K66" si="32">IF(C65&gt;C64,ROUND(C65/C64,2)&amp;" - OK","NG")</f>
        <v>2.99 - OK</v>
      </c>
      <c r="D66" s="41" t="str">
        <f t="shared" si="32"/>
        <v>2.67 - OK</v>
      </c>
      <c r="E66" s="52" t="str">
        <f t="shared" si="32"/>
        <v>2.7 - OK</v>
      </c>
      <c r="F66" s="52" t="str">
        <f>IF(F65&gt;F64,ROUND(F65/F64,2)&amp;" - OK","NG")</f>
        <v>1.79 - OK</v>
      </c>
      <c r="G66" s="52" t="str">
        <f t="shared" si="32"/>
        <v>2.48 - OK</v>
      </c>
      <c r="H66" s="41" t="str">
        <f t="shared" si="32"/>
        <v>3.32 - OK</v>
      </c>
      <c r="I66" s="41" t="str">
        <f t="shared" si="32"/>
        <v>4.31 - OK</v>
      </c>
      <c r="J66" s="41" t="str">
        <f t="shared" si="32"/>
        <v>3.99 - OK</v>
      </c>
      <c r="K66" s="41" t="str">
        <f t="shared" si="32"/>
        <v>4.09 - OK</v>
      </c>
      <c r="L66" s="44"/>
      <c r="M66" s="44"/>
    </row>
    <row r="67" spans="1:13" ht="16.5" customHeight="1" thickBot="1">
      <c r="A67" s="40" t="s">
        <v>69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44"/>
      <c r="M67" s="44"/>
    </row>
    <row r="68" spans="1:13" ht="16.5" customHeight="1" thickTop="1">
      <c r="A68" s="29" t="s">
        <v>119</v>
      </c>
      <c r="B68" s="33">
        <f t="shared" ref="B68:I68" si="33">2/4*B24*B22^2+1/4*(B21-2*B24)*B23^2</f>
        <v>2934657.5</v>
      </c>
      <c r="C68" s="33">
        <f t="shared" si="33"/>
        <v>1232167.5</v>
      </c>
      <c r="D68" s="33">
        <f t="shared" si="33"/>
        <v>1436465.5</v>
      </c>
      <c r="E68" s="48">
        <f t="shared" si="33"/>
        <v>1695125.5</v>
      </c>
      <c r="F68" s="48">
        <f>2/4*F24*F22^2+1/4*(F21-2*F24)*F23^2</f>
        <v>1695125.5</v>
      </c>
      <c r="G68" s="48">
        <f t="shared" si="33"/>
        <v>2934657.5</v>
      </c>
      <c r="H68" s="33">
        <f t="shared" si="33"/>
        <v>4427775</v>
      </c>
      <c r="I68" s="33">
        <f t="shared" si="33"/>
        <v>6713077.5</v>
      </c>
      <c r="L68" s="56"/>
      <c r="M68" s="56"/>
    </row>
    <row r="69" spans="1:13" ht="16.5" customHeight="1">
      <c r="A69" s="29" t="s">
        <v>120</v>
      </c>
      <c r="B69" s="33">
        <f t="shared" ref="B69:I69" si="34">2*B68*(B25-B32)/1000000</f>
        <v>1677.450227</v>
      </c>
      <c r="C69" s="33">
        <f t="shared" si="34"/>
        <v>800.90887499999997</v>
      </c>
      <c r="D69" s="33">
        <f t="shared" si="34"/>
        <v>933.70257500000002</v>
      </c>
      <c r="E69" s="33">
        <f t="shared" si="34"/>
        <v>1101.8315749999999</v>
      </c>
      <c r="F69" s="33">
        <f>2*F68*(F25-F32)/1000000</f>
        <v>1101.8315749999999</v>
      </c>
      <c r="G69" s="33">
        <f t="shared" si="34"/>
        <v>1907.5273749999999</v>
      </c>
      <c r="H69" s="33">
        <f t="shared" si="34"/>
        <v>2878.05375</v>
      </c>
      <c r="I69" s="33">
        <f t="shared" si="34"/>
        <v>4363.5003749999996</v>
      </c>
      <c r="J69" s="33">
        <f>4542</f>
        <v>4542</v>
      </c>
      <c r="K69" s="33">
        <f>1842</f>
        <v>1842</v>
      </c>
      <c r="L69" s="56"/>
      <c r="M69" s="56"/>
    </row>
    <row r="70" spans="1:13" ht="16.5" customHeight="1">
      <c r="A70" s="29" t="s">
        <v>121</v>
      </c>
      <c r="B70" s="33">
        <f>2*(B62+B57*B22/1000/2)*(B6-B11)/B6</f>
        <v>1462.6687768957315</v>
      </c>
      <c r="C70" s="33">
        <f t="shared" ref="C70:I70" si="35">(C62+C57*C22/1000/2)*(C6-C11)/C6</f>
        <v>309.75075259083059</v>
      </c>
      <c r="D70" s="33">
        <f t="shared" si="35"/>
        <v>510.00870576421983</v>
      </c>
      <c r="E70" s="33">
        <f t="shared" si="35"/>
        <v>704.19088386029875</v>
      </c>
      <c r="F70" s="33">
        <f>(F62+F57*F22/1000/2)*(F6-F11)/F6</f>
        <v>1042.5652731104929</v>
      </c>
      <c r="G70" s="33">
        <f t="shared" si="35"/>
        <v>1495.2535117800132</v>
      </c>
      <c r="H70" s="33">
        <f t="shared" si="35"/>
        <v>1839.6691549900911</v>
      </c>
      <c r="I70" s="33">
        <f t="shared" si="35"/>
        <v>2270.2969863764592</v>
      </c>
      <c r="J70" s="33">
        <f>3819</f>
        <v>3819</v>
      </c>
      <c r="K70" s="33">
        <f>964</f>
        <v>964</v>
      </c>
      <c r="L70" s="56"/>
      <c r="M70" s="56"/>
    </row>
    <row r="71" spans="1:13" ht="16.5" customHeight="1">
      <c r="A71" s="29" t="s">
        <v>65</v>
      </c>
      <c r="B71" s="34" t="str">
        <f>IF(B69&gt;B70,ROUND(B69/B70,2)&amp;" - OK","NG")</f>
        <v>1.15 - OK</v>
      </c>
      <c r="C71" s="34" t="str">
        <f t="shared" ref="C71:I71" si="36">IF(C69&gt;C70,ROUND(C69/C70,2)&amp;" - OK","NG")</f>
        <v>2.59 - OK</v>
      </c>
      <c r="D71" s="34" t="str">
        <f t="shared" si="36"/>
        <v>1.83 - OK</v>
      </c>
      <c r="E71" s="50" t="str">
        <f t="shared" si="36"/>
        <v>1.56 - OK</v>
      </c>
      <c r="F71" s="50" t="str">
        <f>IF(F69&gt;F70,ROUND(F69/F70,2)&amp;" - OK","NG")</f>
        <v>1.06 - OK</v>
      </c>
      <c r="G71" s="50" t="str">
        <f t="shared" si="36"/>
        <v>1.28 - OK</v>
      </c>
      <c r="H71" s="34" t="str">
        <f t="shared" si="36"/>
        <v>1.56 - OK</v>
      </c>
      <c r="I71" s="34" t="str">
        <f t="shared" si="36"/>
        <v>1.92 - OK</v>
      </c>
      <c r="J71" s="34" t="str">
        <f>IF(J69&gt;J70,ROUND(J69/J70,2)&amp;" - OK","NG")</f>
        <v>1.19 - OK</v>
      </c>
      <c r="K71" s="34" t="str">
        <f>IF(K69&gt;K70,ROUND(K69/K70,2)&amp;" - OK","NG")</f>
        <v>1.91 - OK</v>
      </c>
      <c r="L71" s="56"/>
      <c r="M71" s="56"/>
    </row>
    <row r="72" spans="1:13" ht="16.5" customHeight="1" thickBot="1">
      <c r="A72" s="40" t="s">
        <v>72</v>
      </c>
      <c r="E72" s="33"/>
      <c r="F72" s="33"/>
      <c r="G72" s="33"/>
      <c r="L72" s="56"/>
      <c r="M72" s="56"/>
    </row>
    <row r="73" spans="1:13" ht="16.5" customHeight="1" thickTop="1" thickBot="1">
      <c r="A73" s="38" t="s">
        <v>73</v>
      </c>
      <c r="B73" s="38"/>
      <c r="C73" s="38"/>
      <c r="D73" s="38"/>
      <c r="E73" s="53"/>
      <c r="F73" s="53"/>
      <c r="G73" s="53"/>
      <c r="H73" s="38"/>
      <c r="I73" s="38"/>
      <c r="J73" s="38"/>
      <c r="K73" s="38"/>
      <c r="L73" s="56"/>
    </row>
    <row r="74" spans="1:13" ht="16.5" customHeight="1">
      <c r="A74" s="29" t="s">
        <v>122</v>
      </c>
      <c r="B74" s="33">
        <f t="shared" ref="B74:I74" si="37">B14+4</f>
        <v>21</v>
      </c>
      <c r="C74" s="33">
        <f t="shared" si="37"/>
        <v>17</v>
      </c>
      <c r="D74" s="33">
        <f t="shared" si="37"/>
        <v>20</v>
      </c>
      <c r="E74" s="48">
        <f t="shared" si="37"/>
        <v>21</v>
      </c>
      <c r="F74" s="48">
        <f t="shared" si="37"/>
        <v>24</v>
      </c>
      <c r="G74" s="48">
        <f t="shared" si="37"/>
        <v>28</v>
      </c>
      <c r="H74" s="48">
        <f t="shared" si="37"/>
        <v>30</v>
      </c>
      <c r="I74" s="48">
        <f t="shared" si="37"/>
        <v>32</v>
      </c>
      <c r="J74" s="33">
        <f>9/8*25.4</f>
        <v>28.574999999999999</v>
      </c>
      <c r="K74" s="33">
        <f>5/8*25.4</f>
        <v>15.875</v>
      </c>
    </row>
    <row r="75" spans="1:13" ht="16.5" customHeight="1">
      <c r="A75" s="29" t="s">
        <v>123</v>
      </c>
      <c r="B75" s="33">
        <f t="shared" ref="B75:I75" si="38">B14+6</f>
        <v>23</v>
      </c>
      <c r="C75" s="33">
        <f t="shared" si="38"/>
        <v>19</v>
      </c>
      <c r="D75" s="33">
        <f t="shared" si="38"/>
        <v>22</v>
      </c>
      <c r="E75" s="48">
        <f t="shared" si="38"/>
        <v>23</v>
      </c>
      <c r="F75" s="48">
        <f t="shared" si="38"/>
        <v>26</v>
      </c>
      <c r="G75" s="48">
        <f t="shared" si="38"/>
        <v>30</v>
      </c>
      <c r="H75" s="48">
        <f t="shared" si="38"/>
        <v>32</v>
      </c>
      <c r="I75" s="48">
        <f t="shared" si="38"/>
        <v>34</v>
      </c>
      <c r="J75" s="33">
        <f>5/4*25.4</f>
        <v>31.75</v>
      </c>
      <c r="K75" s="33">
        <f>7/8*25.4</f>
        <v>22.224999999999998</v>
      </c>
    </row>
    <row r="76" spans="1:13" ht="16.5" customHeight="1" thickBot="1">
      <c r="A76" s="39" t="s">
        <v>74</v>
      </c>
      <c r="B76" s="39"/>
      <c r="C76" s="39"/>
      <c r="D76" s="39"/>
      <c r="E76" s="49"/>
      <c r="F76" s="49"/>
      <c r="G76" s="49"/>
      <c r="H76" s="39"/>
      <c r="I76" s="39"/>
      <c r="J76" s="39"/>
      <c r="K76" s="39"/>
    </row>
    <row r="77" spans="1:13" ht="16.5" customHeight="1">
      <c r="A77" s="29" t="s">
        <v>86</v>
      </c>
      <c r="B77" s="34" t="str">
        <f t="shared" ref="B77:K77" si="39">IF(B12&lt;0.7*(B21-2*B24),"trim","no trim")</f>
        <v>trim</v>
      </c>
      <c r="C77" s="34" t="str">
        <f t="shared" si="39"/>
        <v>trim</v>
      </c>
      <c r="D77" s="34" t="str">
        <f t="shared" si="39"/>
        <v>trim</v>
      </c>
      <c r="E77" s="50" t="str">
        <f t="shared" si="39"/>
        <v>trim</v>
      </c>
      <c r="F77" s="50" t="str">
        <f>IF(F12&lt;0.7*(F21-2*F24),"trim","no trim")</f>
        <v>no trim</v>
      </c>
      <c r="G77" s="50" t="str">
        <f t="shared" si="39"/>
        <v>no trim</v>
      </c>
      <c r="H77" s="34" t="str">
        <f t="shared" si="39"/>
        <v>no trim</v>
      </c>
      <c r="I77" s="34" t="str">
        <f t="shared" si="39"/>
        <v>no trim</v>
      </c>
      <c r="J77" s="34" t="str">
        <f t="shared" si="39"/>
        <v>no trim</v>
      </c>
      <c r="K77" s="34" t="str">
        <f t="shared" si="39"/>
        <v>trim</v>
      </c>
    </row>
    <row r="78" spans="1:13" ht="16.5" customHeight="1" thickBot="1">
      <c r="A78" s="39" t="s">
        <v>75</v>
      </c>
      <c r="B78" s="39"/>
      <c r="C78" s="39"/>
      <c r="D78" s="39"/>
      <c r="E78" s="49"/>
      <c r="F78" s="49"/>
      <c r="G78" s="49"/>
      <c r="H78" s="39"/>
      <c r="I78" s="39"/>
      <c r="J78" s="39"/>
      <c r="K78" s="39"/>
    </row>
    <row r="79" spans="1:13" ht="16.5" customHeight="1">
      <c r="A79" s="29" t="s">
        <v>124</v>
      </c>
      <c r="B79" s="33">
        <f t="shared" ref="B79:I79" si="40">FLOOR(B11-2*(B14+B15+30),20)</f>
        <v>460</v>
      </c>
      <c r="C79" s="33">
        <f t="shared" si="40"/>
        <v>280</v>
      </c>
      <c r="D79" s="33">
        <f t="shared" si="40"/>
        <v>360</v>
      </c>
      <c r="E79" s="33">
        <f t="shared" si="40"/>
        <v>460</v>
      </c>
      <c r="F79" s="33">
        <f>FLOOR(F11-2*(F14+F15+30),20)</f>
        <v>420</v>
      </c>
      <c r="G79" s="33">
        <f t="shared" si="40"/>
        <v>520</v>
      </c>
      <c r="H79" s="33">
        <f t="shared" si="40"/>
        <v>620</v>
      </c>
      <c r="I79" s="33">
        <f t="shared" si="40"/>
        <v>720</v>
      </c>
      <c r="J79" s="33">
        <v>860</v>
      </c>
      <c r="K79" s="33">
        <v>560</v>
      </c>
    </row>
    <row r="80" spans="1:13" ht="16.5" customHeight="1">
      <c r="A80" s="29" t="s">
        <v>125</v>
      </c>
      <c r="B80" s="33">
        <v>110</v>
      </c>
      <c r="C80" s="33">
        <v>100</v>
      </c>
      <c r="D80" s="33">
        <f>C80</f>
        <v>100</v>
      </c>
      <c r="E80" s="48">
        <f>C80</f>
        <v>100</v>
      </c>
      <c r="F80" s="48">
        <f>D80</f>
        <v>100</v>
      </c>
      <c r="G80" s="48">
        <f>C80</f>
        <v>100</v>
      </c>
      <c r="H80" s="33">
        <f>C80</f>
        <v>100</v>
      </c>
      <c r="I80" s="33">
        <f>C80</f>
        <v>100</v>
      </c>
    </row>
    <row r="81" spans="1:13" ht="16.5" customHeight="1">
      <c r="A81" s="29" t="s">
        <v>76</v>
      </c>
      <c r="B81" s="33">
        <f>B79/B80</f>
        <v>4.1818181818181817</v>
      </c>
      <c r="C81" s="33">
        <f t="shared" ref="C81:I81" si="41">C79/C80</f>
        <v>2.8</v>
      </c>
      <c r="D81" s="33">
        <f t="shared" si="41"/>
        <v>3.6</v>
      </c>
      <c r="E81" s="48">
        <f t="shared" si="41"/>
        <v>4.5999999999999996</v>
      </c>
      <c r="F81" s="48">
        <f>F79/F80</f>
        <v>4.2</v>
      </c>
      <c r="G81" s="48">
        <f t="shared" si="41"/>
        <v>5.2</v>
      </c>
      <c r="H81" s="33">
        <f t="shared" si="41"/>
        <v>6.2</v>
      </c>
      <c r="I81" s="33">
        <f t="shared" si="41"/>
        <v>7.2</v>
      </c>
    </row>
    <row r="82" spans="1:13" ht="16.5" customHeight="1">
      <c r="A82" s="29" t="s">
        <v>126</v>
      </c>
      <c r="B82" s="33">
        <f t="shared" ref="B82:I82" si="42">B55+B57*(B37+B38/2)/1000</f>
        <v>806.93338551583349</v>
      </c>
      <c r="C82" s="33">
        <f t="shared" si="42"/>
        <v>325.59403994992812</v>
      </c>
      <c r="D82" s="33">
        <f t="shared" si="42"/>
        <v>554.24176889230785</v>
      </c>
      <c r="E82" s="48">
        <f t="shared" si="42"/>
        <v>791.45591795936582</v>
      </c>
      <c r="F82" s="48">
        <f>F55+F57*(F37+F38/2)/1000</f>
        <v>1166.9337867597915</v>
      </c>
      <c r="G82" s="48">
        <f t="shared" si="42"/>
        <v>1739.0468750407608</v>
      </c>
      <c r="H82" s="33">
        <f t="shared" si="42"/>
        <v>2216.0951134564343</v>
      </c>
      <c r="I82" s="33">
        <f t="shared" si="42"/>
        <v>2834.7185258852173</v>
      </c>
      <c r="J82" s="33">
        <f>3513</f>
        <v>3513</v>
      </c>
      <c r="K82" s="33">
        <f>893</f>
        <v>893</v>
      </c>
      <c r="L82" s="44"/>
      <c r="M82" s="44"/>
    </row>
    <row r="83" spans="1:13" ht="16.5" customHeight="1">
      <c r="A83" s="29" t="s">
        <v>127</v>
      </c>
      <c r="B83" s="36">
        <f t="shared" ref="B83:I83" si="43">B82/(B16*B19)*1000000</f>
        <v>0.86636703015123862</v>
      </c>
      <c r="C83" s="36">
        <f t="shared" si="43"/>
        <v>0.7832588348569266</v>
      </c>
      <c r="D83" s="36">
        <f t="shared" si="43"/>
        <v>0.81343574957152964</v>
      </c>
      <c r="E83" s="36">
        <f t="shared" si="43"/>
        <v>0.849749589552239</v>
      </c>
      <c r="F83" s="36">
        <f>F82/(F16*F19)*1000000</f>
        <v>0.83153468666201225</v>
      </c>
      <c r="G83" s="36">
        <f t="shared" si="43"/>
        <v>0.86130955891181793</v>
      </c>
      <c r="H83" s="36">
        <f t="shared" si="43"/>
        <v>0.86048178445096712</v>
      </c>
      <c r="I83" s="36">
        <f t="shared" si="43"/>
        <v>0.86377601325051767</v>
      </c>
      <c r="J83" s="36">
        <v>0.97</v>
      </c>
      <c r="K83" s="36">
        <v>0.94</v>
      </c>
      <c r="L83" s="44"/>
      <c r="M83" s="44"/>
    </row>
    <row r="84" spans="1:13" ht="16.5" customHeight="1">
      <c r="A84" s="29" t="s">
        <v>129</v>
      </c>
      <c r="B84" s="33">
        <f t="shared" ref="B84:I84" si="44">B12*B14*(B11-B14)*B19/1000000</f>
        <v>619.53661</v>
      </c>
      <c r="C84" s="33">
        <f t="shared" si="44"/>
        <v>314.48781000000002</v>
      </c>
      <c r="D84" s="33">
        <f t="shared" si="44"/>
        <v>484.07744000000002</v>
      </c>
      <c r="E84" s="33">
        <f t="shared" si="44"/>
        <v>619.53661</v>
      </c>
      <c r="F84" s="33">
        <f>F12*F14*(F11-F14)*F19/1000000</f>
        <v>1065.1704</v>
      </c>
      <c r="G84" s="33">
        <f t="shared" si="44"/>
        <v>1521.2433599999999</v>
      </c>
      <c r="H84" s="33">
        <f t="shared" si="44"/>
        <v>1886.92686</v>
      </c>
      <c r="I84" s="33">
        <f t="shared" si="44"/>
        <v>2289.3662399999998</v>
      </c>
    </row>
    <row r="85" spans="1:13" ht="16.5" customHeight="1">
      <c r="A85" s="29" t="s">
        <v>128</v>
      </c>
      <c r="B85" s="33">
        <f>B82-B84</f>
        <v>187.3967755158335</v>
      </c>
      <c r="C85" s="33">
        <f t="shared" ref="C85:I85" si="45">C82-C84</f>
        <v>11.106229949928093</v>
      </c>
      <c r="D85" s="33">
        <f t="shared" si="45"/>
        <v>70.164328892307822</v>
      </c>
      <c r="E85" s="48">
        <f t="shared" si="45"/>
        <v>171.91930795936582</v>
      </c>
      <c r="F85" s="48">
        <f>F82-F84</f>
        <v>101.7633867597915</v>
      </c>
      <c r="G85" s="48">
        <f t="shared" si="45"/>
        <v>217.80351504076089</v>
      </c>
      <c r="H85" s="33">
        <f t="shared" si="45"/>
        <v>329.16825345643429</v>
      </c>
      <c r="I85" s="33">
        <f t="shared" si="45"/>
        <v>545.3522858852175</v>
      </c>
      <c r="J85" s="33">
        <f>1071</f>
        <v>1071</v>
      </c>
      <c r="K85" s="33">
        <f>293</f>
        <v>293</v>
      </c>
    </row>
    <row r="86" spans="1:13" ht="16.5" customHeight="1">
      <c r="A86" s="29" t="s">
        <v>130</v>
      </c>
      <c r="B86" s="33">
        <f t="shared" ref="B86:K86" si="46">1/2*B57</f>
        <v>126.87231709444447</v>
      </c>
      <c r="C86" s="33">
        <f t="shared" si="46"/>
        <v>43.703897979856123</v>
      </c>
      <c r="D86" s="33">
        <f t="shared" si="46"/>
        <v>74.39486830769232</v>
      </c>
      <c r="E86" s="48">
        <f t="shared" si="46"/>
        <v>106.23569368582092</v>
      </c>
      <c r="F86" s="48">
        <f>1/2*F57</f>
        <v>156.63540761876396</v>
      </c>
      <c r="G86" s="48">
        <f t="shared" si="46"/>
        <v>233.42911074372628</v>
      </c>
      <c r="H86" s="33">
        <f t="shared" si="46"/>
        <v>297.46243133643418</v>
      </c>
      <c r="I86" s="33">
        <f t="shared" si="46"/>
        <v>380.49913099130436</v>
      </c>
      <c r="J86" s="33">
        <f t="shared" si="46"/>
        <v>534</v>
      </c>
      <c r="K86" s="33">
        <f t="shared" si="46"/>
        <v>140</v>
      </c>
    </row>
    <row r="87" spans="1:13" ht="16.5" customHeight="1">
      <c r="A87" s="29" t="s">
        <v>131</v>
      </c>
      <c r="B87" s="33">
        <f t="shared" ref="B87:I87" si="47">3/2*B85/B79*1000</f>
        <v>611.07644189945711</v>
      </c>
      <c r="C87" s="33">
        <f t="shared" si="47"/>
        <v>59.497660446043355</v>
      </c>
      <c r="D87" s="33">
        <f t="shared" si="47"/>
        <v>292.35137038461596</v>
      </c>
      <c r="E87" s="33">
        <f t="shared" si="47"/>
        <v>560.60643899793206</v>
      </c>
      <c r="F87" s="33">
        <f>3/2*F85/F79*1000</f>
        <v>363.44066699925537</v>
      </c>
      <c r="G87" s="33">
        <f t="shared" si="47"/>
        <v>628.2793703098871</v>
      </c>
      <c r="H87" s="33">
        <f t="shared" si="47"/>
        <v>796.37480674943788</v>
      </c>
      <c r="I87" s="33">
        <f t="shared" si="47"/>
        <v>1136.150595594203</v>
      </c>
    </row>
    <row r="88" spans="1:13" ht="16.5" customHeight="1">
      <c r="A88" s="29" t="s">
        <v>133</v>
      </c>
      <c r="B88" s="33">
        <f t="shared" ref="B88:I88" si="48">2*SQRT((B87^2+3*B86^2)/(0.9*B27/1000)^2)</f>
        <v>4440.2566588693207</v>
      </c>
      <c r="C88" s="33">
        <f t="shared" si="48"/>
        <v>910.46023630274658</v>
      </c>
      <c r="D88" s="33">
        <f t="shared" si="48"/>
        <v>3021.1709775923573</v>
      </c>
      <c r="E88" s="33">
        <f t="shared" si="48"/>
        <v>5579.4979065338321</v>
      </c>
      <c r="F88" s="33">
        <f>2*SQRT((F87^2+3*F86^2)/(0.9*F27/1000)^2)</f>
        <v>4288.7374013402377</v>
      </c>
      <c r="G88" s="33">
        <f t="shared" si="48"/>
        <v>7065.0539091102082</v>
      </c>
      <c r="H88" s="33">
        <f t="shared" si="48"/>
        <v>8969.3283382774061</v>
      </c>
      <c r="I88" s="33">
        <f t="shared" si="48"/>
        <v>12420.424705139567</v>
      </c>
    </row>
    <row r="89" spans="1:13" ht="16.5" customHeight="1">
      <c r="A89" s="29" t="s">
        <v>134</v>
      </c>
      <c r="B89" s="35">
        <f t="shared" ref="B89:I89" si="49">B88/B79</f>
        <v>9.6527318671072191</v>
      </c>
      <c r="C89" s="35">
        <f t="shared" si="49"/>
        <v>3.2516437010812376</v>
      </c>
      <c r="D89" s="35">
        <f t="shared" si="49"/>
        <v>8.3921416044232142</v>
      </c>
      <c r="E89" s="51">
        <f t="shared" si="49"/>
        <v>12.129343275073548</v>
      </c>
      <c r="F89" s="51">
        <f>F88/F79</f>
        <v>10.211279527000565</v>
      </c>
      <c r="G89" s="51">
        <f t="shared" si="49"/>
        <v>13.586642132904247</v>
      </c>
      <c r="H89" s="35">
        <f t="shared" si="49"/>
        <v>14.466658610124849</v>
      </c>
      <c r="I89" s="35">
        <f t="shared" si="49"/>
        <v>17.250589868249399</v>
      </c>
      <c r="J89" s="35">
        <v>22.2</v>
      </c>
      <c r="K89" s="35">
        <v>19</v>
      </c>
    </row>
    <row r="90" spans="1:13" ht="16.5" customHeight="1">
      <c r="A90" s="29" t="s">
        <v>142</v>
      </c>
      <c r="B90" s="35">
        <f>B85/B57*1000</f>
        <v>738.52507705181381</v>
      </c>
      <c r="C90" s="35">
        <f t="shared" ref="C90:K90" si="50">C85/C57*1000</f>
        <v>127.06223544461805</v>
      </c>
      <c r="D90" s="35">
        <f t="shared" si="50"/>
        <v>471.56699439343544</v>
      </c>
      <c r="E90" s="35">
        <f t="shared" si="50"/>
        <v>809.14098639858355</v>
      </c>
      <c r="F90" s="35">
        <f>F85/F57*1000</f>
        <v>324.84158054312383</v>
      </c>
      <c r="G90" s="35">
        <f t="shared" si="50"/>
        <v>466.5303190909205</v>
      </c>
      <c r="H90" s="35">
        <f t="shared" si="50"/>
        <v>553.29382600947736</v>
      </c>
      <c r="I90" s="35">
        <f t="shared" si="50"/>
        <v>716.6275051199533</v>
      </c>
      <c r="J90" s="35">
        <f t="shared" si="50"/>
        <v>1002.808988764045</v>
      </c>
      <c r="K90" s="35">
        <f t="shared" si="50"/>
        <v>1046.4285714285716</v>
      </c>
    </row>
    <row r="91" spans="1:13" ht="16.5" customHeight="1">
      <c r="A91" s="29" t="s">
        <v>143</v>
      </c>
      <c r="B91" s="35">
        <f>B85/B82</f>
        <v>0.2322332659418222</v>
      </c>
      <c r="C91" s="35">
        <f t="shared" ref="C91:K91" si="51">C85/C82</f>
        <v>3.411066723345451E-2</v>
      </c>
      <c r="D91" s="35">
        <f t="shared" si="51"/>
        <v>0.12659516628011688</v>
      </c>
      <c r="E91" s="35">
        <f t="shared" si="51"/>
        <v>0.2172190567512976</v>
      </c>
      <c r="F91" s="35">
        <f>F85/F82</f>
        <v>8.7205793434395676E-2</v>
      </c>
      <c r="G91" s="35">
        <f t="shared" si="51"/>
        <v>0.1252430386821263</v>
      </c>
      <c r="H91" s="35">
        <f t="shared" si="51"/>
        <v>0.14853525530455772</v>
      </c>
      <c r="I91" s="35">
        <f t="shared" si="51"/>
        <v>0.19238322285099418</v>
      </c>
      <c r="J91" s="35">
        <f t="shared" si="51"/>
        <v>0.30486763450042698</v>
      </c>
      <c r="K91" s="35">
        <f t="shared" si="51"/>
        <v>0.32810750279955209</v>
      </c>
    </row>
    <row r="92" spans="1:13" ht="16.5" customHeight="1">
      <c r="A92" s="29" t="s">
        <v>144</v>
      </c>
      <c r="B92" s="35">
        <f>B55/B82</f>
        <v>0.88207919076243713</v>
      </c>
      <c r="C92" s="35">
        <f t="shared" ref="C92:K92" si="52">C55/C82</f>
        <v>0.93288590604026844</v>
      </c>
      <c r="D92" s="35">
        <f t="shared" si="52"/>
        <v>0.91610738255033553</v>
      </c>
      <c r="E92" s="35">
        <f t="shared" si="52"/>
        <v>0.89932885906040272</v>
      </c>
      <c r="F92" s="35">
        <f>F55/F82</f>
        <v>0.90134228187919474</v>
      </c>
      <c r="G92" s="35">
        <f t="shared" si="52"/>
        <v>0.8825503355704698</v>
      </c>
      <c r="H92" s="35">
        <f t="shared" si="52"/>
        <v>0.86577181208053688</v>
      </c>
      <c r="I92" s="35">
        <f t="shared" si="52"/>
        <v>0.84899328859060397</v>
      </c>
      <c r="J92" s="35">
        <f t="shared" si="52"/>
        <v>0.81497295758610877</v>
      </c>
      <c r="K92" s="35">
        <f t="shared" si="52"/>
        <v>0.89697648376259798</v>
      </c>
    </row>
    <row r="93" spans="1:13" ht="16.5" customHeight="1" thickBot="1">
      <c r="A93" s="39" t="s">
        <v>77</v>
      </c>
      <c r="B93" s="39"/>
      <c r="C93" s="39"/>
      <c r="D93" s="39"/>
      <c r="E93" s="49"/>
      <c r="F93" s="49"/>
      <c r="G93" s="49"/>
      <c r="H93" s="39"/>
      <c r="I93" s="39"/>
      <c r="J93" s="39"/>
      <c r="K93" s="39"/>
    </row>
    <row r="95" spans="1:13" ht="16.5" customHeight="1">
      <c r="A95" s="31"/>
      <c r="B95" s="36"/>
      <c r="C95" s="36"/>
      <c r="D95" s="36"/>
      <c r="E95" s="54"/>
      <c r="F95" s="54"/>
      <c r="G95" s="54"/>
      <c r="H95" s="36"/>
      <c r="I95" s="36"/>
      <c r="J95" s="36"/>
      <c r="K95" s="36"/>
    </row>
  </sheetData>
  <phoneticPr fontId="1" type="noConversion"/>
  <conditionalFormatting sqref="B71:E71 G71:I71">
    <cfRule type="cellIs" dxfId="318" priority="15" operator="equal">
      <formula>"NG"</formula>
    </cfRule>
  </conditionalFormatting>
  <conditionalFormatting sqref="B66:E66 G66:I66">
    <cfRule type="cellIs" dxfId="317" priority="14" operator="equal">
      <formula>"NG"</formula>
    </cfRule>
  </conditionalFormatting>
  <conditionalFormatting sqref="K66">
    <cfRule type="cellIs" dxfId="316" priority="10" operator="equal">
      <formula>"NG"</formula>
    </cfRule>
  </conditionalFormatting>
  <conditionalFormatting sqref="J71">
    <cfRule type="cellIs" dxfId="315" priority="7" operator="equal">
      <formula>"NG"</formula>
    </cfRule>
  </conditionalFormatting>
  <conditionalFormatting sqref="J66">
    <cfRule type="cellIs" dxfId="314" priority="11" operator="equal">
      <formula>"NG"</formula>
    </cfRule>
  </conditionalFormatting>
  <conditionalFormatting sqref="K71">
    <cfRule type="cellIs" dxfId="313" priority="6" operator="equal">
      <formula>"NG"</formula>
    </cfRule>
  </conditionalFormatting>
  <conditionalFormatting sqref="F71">
    <cfRule type="cellIs" dxfId="312" priority="2" operator="equal">
      <formula>"NG"</formula>
    </cfRule>
  </conditionalFormatting>
  <conditionalFormatting sqref="F66">
    <cfRule type="cellIs" dxfId="311" priority="1" operator="equal">
      <formula>"NG"</formula>
    </cfRule>
  </conditionalFormatting>
  <pageMargins left="0.7" right="0.7" top="0.75" bottom="0.75" header="0.51180555555555496" footer="0.51180555555555496"/>
  <pageSetup paperSize="9" firstPageNumber="0" orientation="portrait" r:id="rId1"/>
  <ignoredErrors>
    <ignoredError sqref="J30 G3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4" sqref="A14"/>
    </sheetView>
  </sheetViews>
  <sheetFormatPr defaultColWidth="9" defaultRowHeight="16.5" customHeight="1"/>
  <cols>
    <col min="1" max="1" width="22.375" style="29" customWidth="1"/>
    <col min="2" max="4" width="16.375" style="33" customWidth="1"/>
    <col min="5" max="6" width="16.375" style="48" customWidth="1"/>
    <col min="7" max="10" width="16.375" style="33" customWidth="1"/>
    <col min="11" max="11" width="15.5" style="31" bestFit="1" customWidth="1"/>
    <col min="12" max="12" width="12.375" style="31" bestFit="1" customWidth="1"/>
    <col min="13" max="16384" width="9" style="31"/>
  </cols>
  <sheetData>
    <row r="1" spans="1:11" ht="16.5" customHeight="1">
      <c r="B1" s="30"/>
      <c r="C1" s="30"/>
      <c r="D1" s="30"/>
      <c r="E1" s="45"/>
      <c r="F1" s="45"/>
      <c r="G1" s="30"/>
      <c r="H1" s="30"/>
      <c r="I1" s="30"/>
      <c r="J1" s="30"/>
    </row>
    <row r="3" spans="1:11" ht="16.5" customHeight="1" thickBot="1">
      <c r="B3" s="32" t="s">
        <v>54</v>
      </c>
      <c r="C3" s="32" t="s">
        <v>55</v>
      </c>
      <c r="D3" s="32" t="s">
        <v>56</v>
      </c>
      <c r="E3" s="55" t="s">
        <v>57</v>
      </c>
      <c r="F3" s="55" t="s">
        <v>58</v>
      </c>
      <c r="G3" s="32" t="s">
        <v>59</v>
      </c>
      <c r="H3" s="32" t="s">
        <v>60</v>
      </c>
      <c r="I3" s="32" t="s">
        <v>53</v>
      </c>
      <c r="J3" s="32" t="s">
        <v>84</v>
      </c>
    </row>
    <row r="4" spans="1:11" ht="16.5" customHeight="1" thickTop="1">
      <c r="B4" s="43"/>
      <c r="C4" s="43"/>
      <c r="D4" s="43"/>
      <c r="E4" s="46"/>
      <c r="F4" s="46"/>
      <c r="G4" s="43"/>
      <c r="H4" s="43"/>
      <c r="I4" s="43"/>
      <c r="J4" s="43"/>
    </row>
    <row r="5" spans="1:11" ht="16.5" customHeight="1">
      <c r="A5" s="29" t="s">
        <v>87</v>
      </c>
      <c r="B5" s="59">
        <v>3600</v>
      </c>
      <c r="C5" s="59">
        <v>3500</v>
      </c>
      <c r="D5" s="59">
        <f>C5</f>
        <v>3500</v>
      </c>
      <c r="E5" s="60">
        <f>C5</f>
        <v>3500</v>
      </c>
      <c r="F5" s="60">
        <f>C5</f>
        <v>3500</v>
      </c>
      <c r="G5" s="59">
        <f>C5</f>
        <v>3500</v>
      </c>
      <c r="H5" s="59">
        <f>C5</f>
        <v>3500</v>
      </c>
      <c r="I5" s="59">
        <f>1905*2</f>
        <v>3810</v>
      </c>
      <c r="J5" s="59">
        <f>I5</f>
        <v>3810</v>
      </c>
    </row>
    <row r="6" spans="1:11" ht="16.5" customHeight="1">
      <c r="A6" s="29" t="s">
        <v>88</v>
      </c>
      <c r="B6" s="59">
        <v>7200</v>
      </c>
      <c r="C6" s="59">
        <f>3800*2</f>
        <v>7600</v>
      </c>
      <c r="D6" s="59">
        <f>C6</f>
        <v>7600</v>
      </c>
      <c r="E6" s="59">
        <f>D6</f>
        <v>7600</v>
      </c>
      <c r="F6" s="59">
        <f>E6</f>
        <v>7600</v>
      </c>
      <c r="G6" s="59">
        <f>F6</f>
        <v>7600</v>
      </c>
      <c r="H6" s="59">
        <f>G6</f>
        <v>7600</v>
      </c>
      <c r="I6" s="59">
        <f>2112/240*25.4*12*2+229*2+762+76*2</f>
        <v>6736.4800000000005</v>
      </c>
      <c r="J6" s="59">
        <f>591/63*25.4*12*2+127*2+406+76*2</f>
        <v>6530.6285714285714</v>
      </c>
    </row>
    <row r="7" spans="1:11" ht="16.5" customHeight="1">
      <c r="A7" s="29" t="s">
        <v>89</v>
      </c>
      <c r="B7" s="59">
        <v>75</v>
      </c>
      <c r="C7" s="59">
        <f>B7</f>
        <v>75</v>
      </c>
      <c r="D7" s="59">
        <f>B7</f>
        <v>75</v>
      </c>
      <c r="E7" s="60">
        <f>B7</f>
        <v>75</v>
      </c>
      <c r="F7" s="60">
        <f>B7</f>
        <v>75</v>
      </c>
      <c r="G7" s="59">
        <f>B7</f>
        <v>75</v>
      </c>
      <c r="H7" s="59">
        <f>B7</f>
        <v>75</v>
      </c>
      <c r="I7" s="59">
        <v>76</v>
      </c>
      <c r="J7" s="59">
        <f>I7</f>
        <v>76</v>
      </c>
    </row>
    <row r="8" spans="1:11" ht="16.5" customHeight="1">
      <c r="A8" s="29" t="s">
        <v>90</v>
      </c>
      <c r="B8" s="59">
        <f t="shared" ref="B8:J8" si="0">B6-2*B7</f>
        <v>7050</v>
      </c>
      <c r="C8" s="59">
        <f t="shared" si="0"/>
        <v>7450</v>
      </c>
      <c r="D8" s="59">
        <f t="shared" si="0"/>
        <v>7450</v>
      </c>
      <c r="E8" s="60">
        <f t="shared" si="0"/>
        <v>7450</v>
      </c>
      <c r="F8" s="60">
        <f t="shared" si="0"/>
        <v>7450</v>
      </c>
      <c r="G8" s="59">
        <f t="shared" si="0"/>
        <v>7450</v>
      </c>
      <c r="H8" s="59">
        <f t="shared" si="0"/>
        <v>7450</v>
      </c>
      <c r="I8" s="59">
        <f t="shared" si="0"/>
        <v>6584.4800000000005</v>
      </c>
      <c r="J8" s="59">
        <f t="shared" si="0"/>
        <v>6378.6285714285714</v>
      </c>
      <c r="K8" s="44"/>
    </row>
    <row r="9" spans="1:11" ht="16.5" customHeight="1">
      <c r="A9" s="29" t="s">
        <v>91</v>
      </c>
      <c r="B9" s="59">
        <v>600</v>
      </c>
      <c r="C9" s="59">
        <v>400</v>
      </c>
      <c r="D9" s="59">
        <v>500</v>
      </c>
      <c r="E9" s="60">
        <v>600</v>
      </c>
      <c r="F9" s="60">
        <v>700</v>
      </c>
      <c r="G9" s="59">
        <v>800</v>
      </c>
      <c r="H9" s="59">
        <v>900</v>
      </c>
      <c r="I9" s="59">
        <f>25.4*35.9</f>
        <v>911.8599999999999</v>
      </c>
      <c r="J9" s="59">
        <f>25.4*23.7</f>
        <v>601.9799999999999</v>
      </c>
    </row>
    <row r="10" spans="1:11" ht="16.5" customHeight="1">
      <c r="A10" s="29" t="s">
        <v>92</v>
      </c>
      <c r="B10" s="59">
        <v>200</v>
      </c>
      <c r="C10" s="59">
        <v>200</v>
      </c>
      <c r="D10" s="59">
        <v>200</v>
      </c>
      <c r="E10" s="60">
        <v>200</v>
      </c>
      <c r="F10" s="60">
        <v>300</v>
      </c>
      <c r="G10" s="59">
        <v>300</v>
      </c>
      <c r="H10" s="59">
        <v>300</v>
      </c>
      <c r="I10" s="59">
        <f>25.4*12</f>
        <v>304.79999999999995</v>
      </c>
      <c r="J10" s="59">
        <f>25.4*7.04</f>
        <v>178.816</v>
      </c>
    </row>
    <row r="11" spans="1:11" ht="16.5" customHeight="1">
      <c r="A11" s="29" t="s">
        <v>93</v>
      </c>
      <c r="B11" s="59">
        <v>11</v>
      </c>
      <c r="C11" s="59">
        <v>8</v>
      </c>
      <c r="D11" s="59">
        <v>10</v>
      </c>
      <c r="E11" s="60">
        <v>11</v>
      </c>
      <c r="F11" s="60">
        <v>13</v>
      </c>
      <c r="G11" s="59">
        <v>14</v>
      </c>
      <c r="H11" s="59">
        <v>16</v>
      </c>
      <c r="I11" s="59">
        <f>25.4*0.625</f>
        <v>15.875</v>
      </c>
      <c r="J11" s="59">
        <f>25.4*0.43</f>
        <v>10.921999999999999</v>
      </c>
    </row>
    <row r="12" spans="1:11" ht="16.5" customHeight="1">
      <c r="A12" s="29" t="s">
        <v>94</v>
      </c>
      <c r="B12" s="59">
        <v>17</v>
      </c>
      <c r="C12" s="59">
        <v>13</v>
      </c>
      <c r="D12" s="59">
        <v>16</v>
      </c>
      <c r="E12" s="60">
        <v>17</v>
      </c>
      <c r="F12" s="60">
        <v>24</v>
      </c>
      <c r="G12" s="59">
        <v>26</v>
      </c>
      <c r="H12" s="59">
        <v>28</v>
      </c>
      <c r="I12" s="59">
        <f>25.4*0.94</f>
        <v>23.875999999999998</v>
      </c>
      <c r="J12" s="59">
        <f>25.4*0.59</f>
        <v>14.985999999999999</v>
      </c>
    </row>
    <row r="13" spans="1:11" ht="16.5" customHeight="1">
      <c r="A13" s="29" t="s">
        <v>95</v>
      </c>
      <c r="B13" s="59">
        <v>22</v>
      </c>
      <c r="C13" s="59">
        <v>16</v>
      </c>
      <c r="D13" s="59">
        <v>20</v>
      </c>
      <c r="E13" s="60">
        <v>22</v>
      </c>
      <c r="F13" s="60">
        <v>28</v>
      </c>
      <c r="G13" s="59">
        <v>28</v>
      </c>
      <c r="H13" s="59">
        <v>28</v>
      </c>
      <c r="I13" s="59">
        <f>25.4*(1.69-0.94)</f>
        <v>19.049999999999997</v>
      </c>
      <c r="J13" s="59">
        <f>25.4*(1.09-0.59)</f>
        <v>12.700000000000003</v>
      </c>
      <c r="K13" s="44"/>
    </row>
    <row r="14" spans="1:11" ht="16.5" customHeight="1">
      <c r="A14" s="29" t="s">
        <v>96</v>
      </c>
      <c r="B14" s="59">
        <v>2980000</v>
      </c>
      <c r="C14" s="59">
        <v>1330000</v>
      </c>
      <c r="D14" s="59">
        <v>2180000</v>
      </c>
      <c r="E14" s="60">
        <v>2980000</v>
      </c>
      <c r="F14" s="60">
        <v>6460000</v>
      </c>
      <c r="G14" s="59">
        <v>8240000</v>
      </c>
      <c r="H14" s="59">
        <v>10500000</v>
      </c>
      <c r="I14" s="59">
        <f>25.4^3*581</f>
        <v>9520884.1839999985</v>
      </c>
      <c r="J14" s="59">
        <f>25.4^3*153</f>
        <v>2507220.7919999999</v>
      </c>
      <c r="K14" s="44"/>
    </row>
    <row r="15" spans="1:11" ht="16.5" customHeight="1">
      <c r="A15" s="31"/>
      <c r="B15" s="36"/>
      <c r="C15" s="36"/>
      <c r="D15" s="36"/>
      <c r="E15" s="54"/>
      <c r="F15" s="54"/>
      <c r="G15" s="36"/>
      <c r="H15" s="36"/>
      <c r="I15" s="36"/>
      <c r="J15" s="36"/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3"/>
  <sheetViews>
    <sheetView zoomScale="85" zoomScaleNormal="85" workbookViewId="0">
      <selection activeCell="L15" sqref="L15"/>
    </sheetView>
  </sheetViews>
  <sheetFormatPr defaultRowHeight="16.5"/>
  <cols>
    <col min="1" max="2" width="9" customWidth="1"/>
    <col min="3" max="3" width="2.375" customWidth="1"/>
    <col min="8" max="8" width="8.875" hidden="1" customWidth="1"/>
    <col min="9" max="9" width="0" hidden="1" customWidth="1"/>
    <col min="10" max="10" width="8.875" customWidth="1"/>
    <col min="15" max="15" width="2.375" customWidth="1"/>
    <col min="16" max="17" width="9.375" bestFit="1" customWidth="1"/>
    <col min="18" max="18" width="10.375" bestFit="1" customWidth="1"/>
    <col min="19" max="20" width="9.375" customWidth="1"/>
    <col min="21" max="23" width="9.375" bestFit="1" customWidth="1"/>
    <col min="24" max="26" width="10.25" customWidth="1"/>
    <col min="27" max="27" width="15" customWidth="1"/>
    <col min="28" max="28" width="10.25" customWidth="1"/>
    <col min="29" max="29" width="13.75" customWidth="1"/>
    <col min="30" max="30" width="13.625" customWidth="1"/>
    <col min="31" max="31" width="13.375" bestFit="1" customWidth="1"/>
  </cols>
  <sheetData>
    <row r="1" spans="1:30" ht="22.5" customHeight="1">
      <c r="A1" s="11" t="s">
        <v>28</v>
      </c>
      <c r="B1" s="11" t="s">
        <v>37</v>
      </c>
      <c r="C1" s="12"/>
      <c r="D1" s="13" t="s">
        <v>1</v>
      </c>
      <c r="E1" s="11" t="s">
        <v>21</v>
      </c>
      <c r="F1" s="13" t="s">
        <v>2</v>
      </c>
      <c r="G1" s="13" t="s">
        <v>3</v>
      </c>
      <c r="H1" s="13" t="s">
        <v>38</v>
      </c>
      <c r="I1" s="13" t="s">
        <v>39</v>
      </c>
      <c r="J1" s="11" t="s">
        <v>42</v>
      </c>
      <c r="K1" s="11" t="s">
        <v>43</v>
      </c>
      <c r="L1" s="11" t="s">
        <v>165</v>
      </c>
      <c r="M1" s="13" t="s">
        <v>19</v>
      </c>
      <c r="N1" s="13" t="s">
        <v>20</v>
      </c>
      <c r="O1" s="12"/>
      <c r="P1" s="14" t="s">
        <v>6</v>
      </c>
      <c r="Q1" s="14" t="s">
        <v>7</v>
      </c>
      <c r="R1" s="14" t="s">
        <v>8</v>
      </c>
      <c r="S1" s="14" t="s">
        <v>22</v>
      </c>
      <c r="T1" s="14" t="s">
        <v>23</v>
      </c>
      <c r="U1" s="14" t="s">
        <v>9</v>
      </c>
      <c r="V1" s="14" t="s">
        <v>10</v>
      </c>
      <c r="W1" s="14" t="s">
        <v>12</v>
      </c>
      <c r="X1" s="14" t="s">
        <v>13</v>
      </c>
      <c r="Y1" s="14" t="s">
        <v>14</v>
      </c>
      <c r="Z1" s="14" t="s">
        <v>15</v>
      </c>
      <c r="AA1" s="14" t="s">
        <v>16</v>
      </c>
      <c r="AB1" s="14" t="s">
        <v>40</v>
      </c>
      <c r="AC1" s="15"/>
    </row>
    <row r="2" spans="1:30" ht="22.5" customHeight="1">
      <c r="A2" s="11" t="s">
        <v>24</v>
      </c>
      <c r="B2" s="11" t="s">
        <v>4</v>
      </c>
      <c r="C2" s="12"/>
      <c r="D2" s="13" t="s">
        <v>0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44</v>
      </c>
      <c r="N2" s="13" t="s">
        <v>5</v>
      </c>
      <c r="O2" s="12"/>
      <c r="P2" s="13" t="s">
        <v>4</v>
      </c>
      <c r="Q2" s="13" t="s">
        <v>4</v>
      </c>
      <c r="R2" s="13"/>
      <c r="S2" s="13" t="s">
        <v>4</v>
      </c>
      <c r="T2" s="13" t="s">
        <v>4</v>
      </c>
      <c r="U2" s="13" t="s">
        <v>4</v>
      </c>
      <c r="V2" s="14" t="s">
        <v>11</v>
      </c>
      <c r="W2" s="13"/>
      <c r="X2" s="13" t="s">
        <v>18</v>
      </c>
      <c r="Y2" s="13" t="s">
        <v>18</v>
      </c>
      <c r="Z2" s="13" t="s">
        <v>18</v>
      </c>
      <c r="AA2" s="13" t="s">
        <v>17</v>
      </c>
      <c r="AB2" s="14" t="s">
        <v>4</v>
      </c>
      <c r="AC2" s="15"/>
    </row>
    <row r="3" spans="1:30">
      <c r="A3" s="7">
        <v>490</v>
      </c>
      <c r="B3" s="3">
        <v>-46.571899999999999</v>
      </c>
      <c r="D3" s="1">
        <v>1</v>
      </c>
      <c r="E3" s="2">
        <v>10</v>
      </c>
      <c r="F3" s="20">
        <v>10</v>
      </c>
      <c r="G3" s="2">
        <f>F3/SQRT(2)</f>
        <v>7.0710678118654746</v>
      </c>
      <c r="H3" s="20">
        <f t="shared" ref="H3:H14" si="0">(MAX($D$3:$D$14)-D3+0.5)*E3-$AB$3</f>
        <v>85</v>
      </c>
      <c r="I3" s="2">
        <f>(MAX(D17:D28)-MAX(D3:D14))*E17</f>
        <v>120</v>
      </c>
      <c r="J3" s="20">
        <f>H3-B3</f>
        <v>131.5719</v>
      </c>
      <c r="K3" s="2">
        <f>I3</f>
        <v>120</v>
      </c>
      <c r="L3" s="2">
        <f>SQRT(J3^2+K3^2)</f>
        <v>178.07628946496499</v>
      </c>
      <c r="M3" s="2">
        <f>ABS(J3/K3)</f>
        <v>1.0964324999999999</v>
      </c>
      <c r="N3" s="2">
        <f>ATAN(M3)*180/PI()</f>
        <v>47.633656643648415</v>
      </c>
      <c r="P3" s="4">
        <f>0.209 * (N3+2)^-0.32 * F3</f>
        <v>0.59909801283450337</v>
      </c>
      <c r="Q3" s="4">
        <f>MIN(1.087*(N3+6)^-0.65 * F3, 0.17*F3)</f>
        <v>0.81676144591443023</v>
      </c>
      <c r="R3" s="4">
        <f>Q3/L3</f>
        <v>4.5865816744520681E-3</v>
      </c>
      <c r="S3" s="4">
        <f t="shared" ref="S3:S14" si="1">INDEX($Q$3:$Q$28, MATCH(MIN($R$3:$R$28),$R$3:$R$28,0))</f>
        <v>0.81676144591443023</v>
      </c>
      <c r="T3" s="2">
        <f t="shared" ref="T3:T14" si="2">INDEX($L$3:$L$28, MATCH(MIN($R$3:$R$28),$R$3:$R$28,0))</f>
        <v>178.07628946496499</v>
      </c>
      <c r="U3" s="6">
        <f>S3*L3/T3</f>
        <v>0.81676144591443023</v>
      </c>
      <c r="V3" s="4">
        <f>U3/P3</f>
        <v>1.3633185696111711</v>
      </c>
      <c r="W3" s="4">
        <f>POWER(V3*(1.9-0.9*V3),0.3)</f>
        <v>0.97450999244852909</v>
      </c>
      <c r="X3" s="3">
        <f>0.6*A3*G3*E3*(1+0.5*SIN(N3*PI()/180)^1.5)*W3/1000</f>
        <v>26.692186973545024</v>
      </c>
      <c r="Y3" s="8">
        <f>X3*COS(N3*PI()/180)</f>
        <v>17.987023687707616</v>
      </c>
      <c r="Z3" s="3">
        <f>X3*SIN(N3*PI()/180)</f>
        <v>19.721557349472477</v>
      </c>
      <c r="AA3" s="3">
        <f>L3*X3</f>
        <v>4753.2456139539718</v>
      </c>
      <c r="AB3" s="3">
        <f>(MAX(D3:D14)*E3*G3*MAX(D3:D14)*E3/2)/(MAX(D3:D14)*E3*G3+I3*G3)</f>
        <v>30</v>
      </c>
      <c r="AC3" s="3"/>
      <c r="AD3" s="15"/>
    </row>
    <row r="4" spans="1:30">
      <c r="A4" s="7">
        <f>A3</f>
        <v>490</v>
      </c>
      <c r="B4" s="3">
        <f t="shared" ref="A4:B19" si="3">B3</f>
        <v>-46.571899999999999</v>
      </c>
      <c r="D4" s="1">
        <f>D3+1</f>
        <v>2</v>
      </c>
      <c r="E4" s="2">
        <f>E3</f>
        <v>10</v>
      </c>
      <c r="F4" s="2">
        <f>F3</f>
        <v>10</v>
      </c>
      <c r="G4" s="2">
        <f t="shared" ref="G4:G28" si="4">F4/SQRT(2)</f>
        <v>7.0710678118654746</v>
      </c>
      <c r="H4" s="20">
        <f t="shared" si="0"/>
        <v>75</v>
      </c>
      <c r="I4" s="2">
        <f>I3</f>
        <v>120</v>
      </c>
      <c r="J4" s="20">
        <f t="shared" ref="J4:J11" si="5">H4-B4</f>
        <v>121.5719</v>
      </c>
      <c r="K4" s="2">
        <f>K3</f>
        <v>120</v>
      </c>
      <c r="L4" s="2">
        <f t="shared" ref="L4:L11" si="6">SQRT(J4^2+K4^2)</f>
        <v>170.82074484561295</v>
      </c>
      <c r="M4" s="2">
        <f t="shared" ref="M4:M11" si="7">ABS(J4/K4)</f>
        <v>1.0130991666666667</v>
      </c>
      <c r="N4" s="2">
        <f t="shared" ref="N4:N11" si="8">ATAN(M4)*180/PI()</f>
        <v>45.372816394367291</v>
      </c>
      <c r="P4" s="4">
        <f t="shared" ref="P4:P28" si="9">0.209 * (N4+2)^-0.32 * F4</f>
        <v>0.60810271231722846</v>
      </c>
      <c r="Q4" s="4">
        <f t="shared" ref="Q4:Q28" si="10">MIN(1.087*(N4+6)^-0.65 * F4, 0.17*F4)</f>
        <v>0.83994886963194781</v>
      </c>
      <c r="R4" s="4">
        <f t="shared" ref="R4:R28" si="11">Q4/L4</f>
        <v>4.9171362084335247E-3</v>
      </c>
      <c r="S4" s="4">
        <f t="shared" si="1"/>
        <v>0.81676144591443023</v>
      </c>
      <c r="T4" s="2">
        <f t="shared" si="2"/>
        <v>178.07628946496499</v>
      </c>
      <c r="U4" s="6">
        <f t="shared" ref="U4:U28" si="12">S4*L4/T4</f>
        <v>0.78348329792514093</v>
      </c>
      <c r="V4" s="4">
        <f t="shared" ref="V4:V28" si="13">U4/P4</f>
        <v>1.2884061887170499</v>
      </c>
      <c r="W4" s="4">
        <f t="shared" ref="W4:W28" si="14">POWER(V4*(1.9-0.9*V4),0.3)</f>
        <v>0.98596573488979722</v>
      </c>
      <c r="X4" s="3">
        <f t="shared" ref="X4:X28" si="15">0.6*A4*G4*E4*(1+0.5*SIN(N4*PI()/180)^1.5)*W4/1000</f>
        <v>26.650410460652417</v>
      </c>
      <c r="Y4" s="8">
        <f t="shared" ref="Y4:Y11" si="16">X4*COS(N4*PI()/180)</f>
        <v>18.721667899110692</v>
      </c>
      <c r="Z4" s="3">
        <f t="shared" ref="Z4:Z11" si="17">X4*SIN(N4*PI()/180)</f>
        <v>18.966906147199126</v>
      </c>
      <c r="AA4" s="3">
        <f t="shared" ref="AA4:AA28" si="18">L4*X4</f>
        <v>4552.4429653299603</v>
      </c>
      <c r="AB4" s="3">
        <f>I3-(MAX(D3:D14)*E3*G3*G3/2+I3*G3*I3/2)/(MAX(D3:D14)*E3*G3+I3*G3)</f>
        <v>88.232233047033631</v>
      </c>
      <c r="AC4" s="3"/>
      <c r="AD4" s="15"/>
    </row>
    <row r="5" spans="1:30">
      <c r="A5" s="7">
        <f t="shared" si="3"/>
        <v>490</v>
      </c>
      <c r="B5" s="3">
        <f t="shared" si="3"/>
        <v>-46.571899999999999</v>
      </c>
      <c r="D5" s="1">
        <f t="shared" ref="D5:D14" si="19">D4+1</f>
        <v>3</v>
      </c>
      <c r="E5" s="2">
        <f t="shared" ref="E5:F20" si="20">E4</f>
        <v>10</v>
      </c>
      <c r="F5" s="2">
        <f t="shared" si="20"/>
        <v>10</v>
      </c>
      <c r="G5" s="2">
        <f t="shared" si="4"/>
        <v>7.0710678118654746</v>
      </c>
      <c r="H5" s="20">
        <f t="shared" si="0"/>
        <v>65</v>
      </c>
      <c r="I5" s="2">
        <f t="shared" ref="I5:K11" si="21">I4</f>
        <v>120</v>
      </c>
      <c r="J5" s="20">
        <f t="shared" si="5"/>
        <v>111.5719</v>
      </c>
      <c r="K5" s="2">
        <f t="shared" si="21"/>
        <v>120</v>
      </c>
      <c r="L5" s="2">
        <f t="shared" si="6"/>
        <v>163.85447467069673</v>
      </c>
      <c r="M5" s="2">
        <f t="shared" si="7"/>
        <v>0.92976583333333329</v>
      </c>
      <c r="N5" s="2">
        <f t="shared" si="8"/>
        <v>42.915630034790638</v>
      </c>
      <c r="P5" s="4">
        <f t="shared" si="9"/>
        <v>0.61855609043251025</v>
      </c>
      <c r="Q5" s="4">
        <f t="shared" si="10"/>
        <v>0.86713870302031038</v>
      </c>
      <c r="R5" s="4">
        <f t="shared" si="11"/>
        <v>5.2921270826629856E-3</v>
      </c>
      <c r="S5" s="4">
        <f t="shared" si="1"/>
        <v>0.81676144591443023</v>
      </c>
      <c r="T5" s="2">
        <f t="shared" si="2"/>
        <v>178.07628946496499</v>
      </c>
      <c r="U5" s="6">
        <f t="shared" si="12"/>
        <v>0.75153193080158809</v>
      </c>
      <c r="V5" s="4">
        <f t="shared" si="13"/>
        <v>1.2149778208086153</v>
      </c>
      <c r="W5" s="4">
        <f t="shared" si="14"/>
        <v>0.99392826521159017</v>
      </c>
      <c r="X5" s="3">
        <f t="shared" si="15"/>
        <v>26.467713618121238</v>
      </c>
      <c r="Y5" s="8">
        <f t="shared" si="16"/>
        <v>19.383819944848646</v>
      </c>
      <c r="Z5" s="3">
        <f t="shared" si="17"/>
        <v>18.022413504205485</v>
      </c>
      <c r="AA5" s="3">
        <f t="shared" si="18"/>
        <v>4336.8533106317009</v>
      </c>
      <c r="AB5" s="3"/>
      <c r="AC5" s="3"/>
      <c r="AD5" s="15"/>
    </row>
    <row r="6" spans="1:30">
      <c r="A6" s="7">
        <f t="shared" si="3"/>
        <v>490</v>
      </c>
      <c r="B6" s="3">
        <f t="shared" si="3"/>
        <v>-46.571899999999999</v>
      </c>
      <c r="D6" s="1">
        <f t="shared" si="19"/>
        <v>4</v>
      </c>
      <c r="E6" s="2">
        <f t="shared" si="20"/>
        <v>10</v>
      </c>
      <c r="F6" s="2">
        <f t="shared" si="20"/>
        <v>10</v>
      </c>
      <c r="G6" s="2">
        <f t="shared" si="4"/>
        <v>7.0710678118654746</v>
      </c>
      <c r="H6" s="20">
        <f t="shared" si="0"/>
        <v>55</v>
      </c>
      <c r="I6" s="2">
        <f t="shared" si="21"/>
        <v>120</v>
      </c>
      <c r="J6" s="20">
        <f t="shared" si="5"/>
        <v>101.5719</v>
      </c>
      <c r="K6" s="2">
        <f t="shared" si="21"/>
        <v>120</v>
      </c>
      <c r="L6" s="2">
        <f t="shared" si="6"/>
        <v>157.2159370725818</v>
      </c>
      <c r="M6" s="2">
        <f t="shared" si="7"/>
        <v>0.84643250000000003</v>
      </c>
      <c r="N6" s="2">
        <f t="shared" si="8"/>
        <v>40.245661174022466</v>
      </c>
      <c r="P6" s="4">
        <f t="shared" si="9"/>
        <v>0.63080628308589859</v>
      </c>
      <c r="Q6" s="4">
        <f t="shared" si="10"/>
        <v>0.89935964946889502</v>
      </c>
      <c r="R6" s="4">
        <f t="shared" si="11"/>
        <v>5.7205374099808222E-3</v>
      </c>
      <c r="S6" s="4">
        <f t="shared" si="1"/>
        <v>0.81676144591443023</v>
      </c>
      <c r="T6" s="2">
        <f t="shared" si="2"/>
        <v>178.07628946496499</v>
      </c>
      <c r="U6" s="6">
        <f t="shared" si="12"/>
        <v>0.72108373590891306</v>
      </c>
      <c r="V6" s="4">
        <f t="shared" si="13"/>
        <v>1.1431143843104701</v>
      </c>
      <c r="W6" s="4">
        <f t="shared" si="14"/>
        <v>0.9987615769179744</v>
      </c>
      <c r="X6" s="3">
        <f t="shared" si="15"/>
        <v>26.154322258196959</v>
      </c>
      <c r="Y6" s="8">
        <f t="shared" si="16"/>
        <v>19.963107617611801</v>
      </c>
      <c r="Z6" s="3">
        <f t="shared" si="17"/>
        <v>16.897423088544198</v>
      </c>
      <c r="AA6" s="3">
        <f t="shared" si="18"/>
        <v>4111.8762823207189</v>
      </c>
      <c r="AB6" s="3"/>
      <c r="AC6" s="3"/>
      <c r="AD6" s="15"/>
    </row>
    <row r="7" spans="1:30">
      <c r="A7" s="7">
        <f t="shared" si="3"/>
        <v>490</v>
      </c>
      <c r="B7" s="3">
        <f t="shared" si="3"/>
        <v>-46.571899999999999</v>
      </c>
      <c r="D7" s="1">
        <f t="shared" si="19"/>
        <v>5</v>
      </c>
      <c r="E7" s="2">
        <f t="shared" si="20"/>
        <v>10</v>
      </c>
      <c r="F7" s="2">
        <f t="shared" si="20"/>
        <v>10</v>
      </c>
      <c r="G7" s="2">
        <f t="shared" si="4"/>
        <v>7.0710678118654746</v>
      </c>
      <c r="H7" s="20">
        <f t="shared" si="0"/>
        <v>45</v>
      </c>
      <c r="I7" s="2">
        <f t="shared" si="21"/>
        <v>120</v>
      </c>
      <c r="J7" s="20">
        <f t="shared" si="5"/>
        <v>91.571899999999999</v>
      </c>
      <c r="K7" s="2">
        <f t="shared" si="21"/>
        <v>120</v>
      </c>
      <c r="L7" s="2">
        <f t="shared" si="6"/>
        <v>150.9483781615755</v>
      </c>
      <c r="M7" s="2">
        <f t="shared" si="7"/>
        <v>0.76309916666666666</v>
      </c>
      <c r="N7" s="2">
        <f t="shared" si="8"/>
        <v>37.347222562929979</v>
      </c>
      <c r="P7" s="4">
        <f t="shared" si="9"/>
        <v>0.64531800114337112</v>
      </c>
      <c r="Q7" s="4">
        <f t="shared" si="10"/>
        <v>0.93800405299839917</v>
      </c>
      <c r="R7" s="4">
        <f t="shared" si="11"/>
        <v>6.2140717536849415E-3</v>
      </c>
      <c r="S7" s="4">
        <f t="shared" si="1"/>
        <v>0.81676144591443023</v>
      </c>
      <c r="T7" s="2">
        <f t="shared" si="2"/>
        <v>178.07628946496499</v>
      </c>
      <c r="U7" s="6">
        <f t="shared" si="12"/>
        <v>0.69233706506414294</v>
      </c>
      <c r="V7" s="4">
        <f t="shared" si="13"/>
        <v>1.0728618508045082</v>
      </c>
      <c r="W7" s="4">
        <f t="shared" si="14"/>
        <v>1.000751806576752</v>
      </c>
      <c r="X7" s="3">
        <f t="shared" si="15"/>
        <v>25.719634933377758</v>
      </c>
      <c r="Y7" s="8">
        <f t="shared" si="16"/>
        <v>20.446434930898615</v>
      </c>
      <c r="Z7" s="3">
        <f t="shared" si="17"/>
        <v>15.602657457072961</v>
      </c>
      <c r="AA7" s="3">
        <f t="shared" si="18"/>
        <v>3882.3371801011735</v>
      </c>
      <c r="AB7" s="3"/>
      <c r="AC7" s="3"/>
      <c r="AD7" s="15"/>
    </row>
    <row r="8" spans="1:30">
      <c r="A8" s="7">
        <f t="shared" si="3"/>
        <v>490</v>
      </c>
      <c r="B8" s="3">
        <f t="shared" si="3"/>
        <v>-46.571899999999999</v>
      </c>
      <c r="D8" s="1">
        <f t="shared" si="19"/>
        <v>6</v>
      </c>
      <c r="E8" s="2">
        <f t="shared" si="20"/>
        <v>10</v>
      </c>
      <c r="F8" s="2">
        <f t="shared" si="20"/>
        <v>10</v>
      </c>
      <c r="G8" s="2">
        <f t="shared" si="4"/>
        <v>7.0710678118654746</v>
      </c>
      <c r="H8" s="20">
        <f t="shared" si="0"/>
        <v>35</v>
      </c>
      <c r="I8" s="2">
        <f t="shared" si="21"/>
        <v>120</v>
      </c>
      <c r="J8" s="20">
        <f t="shared" si="5"/>
        <v>81.571899999999999</v>
      </c>
      <c r="K8" s="2">
        <f t="shared" si="21"/>
        <v>120</v>
      </c>
      <c r="L8" s="2">
        <f t="shared" si="6"/>
        <v>145.09987894416039</v>
      </c>
      <c r="M8" s="2">
        <f t="shared" si="7"/>
        <v>0.67976583333333329</v>
      </c>
      <c r="N8" s="2">
        <f t="shared" si="8"/>
        <v>34.206526651973583</v>
      </c>
      <c r="P8" s="4">
        <f t="shared" si="9"/>
        <v>0.66272673311348562</v>
      </c>
      <c r="Q8" s="4">
        <f t="shared" si="10"/>
        <v>0.98500125086245782</v>
      </c>
      <c r="R8" s="4">
        <f t="shared" si="11"/>
        <v>6.7884360623176078E-3</v>
      </c>
      <c r="S8" s="4">
        <f t="shared" si="1"/>
        <v>0.81676144591443023</v>
      </c>
      <c r="T8" s="2">
        <f t="shared" si="2"/>
        <v>178.07628946496499</v>
      </c>
      <c r="U8" s="6">
        <f t="shared" si="12"/>
        <v>0.6655124457304995</v>
      </c>
      <c r="V8" s="4">
        <f t="shared" si="13"/>
        <v>1.0042034106635878</v>
      </c>
      <c r="W8" s="4">
        <f t="shared" si="14"/>
        <v>1.0001213146103489</v>
      </c>
      <c r="X8" s="3">
        <f t="shared" si="15"/>
        <v>25.173390122891806</v>
      </c>
      <c r="Y8" s="8">
        <f t="shared" si="16"/>
        <v>20.81881002746757</v>
      </c>
      <c r="Z8" s="3">
        <f t="shared" si="17"/>
        <v>14.15191574732985</v>
      </c>
      <c r="AA8" s="3">
        <f t="shared" si="18"/>
        <v>3652.6558594457242</v>
      </c>
      <c r="AB8" s="3"/>
      <c r="AC8" s="3"/>
      <c r="AD8" s="15"/>
    </row>
    <row r="9" spans="1:30">
      <c r="A9" s="7">
        <f t="shared" si="3"/>
        <v>490</v>
      </c>
      <c r="B9" s="3">
        <f t="shared" si="3"/>
        <v>-46.571899999999999</v>
      </c>
      <c r="D9" s="1">
        <f t="shared" si="19"/>
        <v>7</v>
      </c>
      <c r="E9" s="2">
        <f t="shared" si="20"/>
        <v>10</v>
      </c>
      <c r="F9" s="2">
        <f t="shared" si="20"/>
        <v>10</v>
      </c>
      <c r="G9" s="2">
        <f t="shared" si="4"/>
        <v>7.0710678118654746</v>
      </c>
      <c r="H9" s="20">
        <f t="shared" si="0"/>
        <v>25</v>
      </c>
      <c r="I9" s="2">
        <f t="shared" si="21"/>
        <v>120</v>
      </c>
      <c r="J9" s="20">
        <f t="shared" si="5"/>
        <v>71.571899999999999</v>
      </c>
      <c r="K9" s="2">
        <f t="shared" si="21"/>
        <v>120</v>
      </c>
      <c r="L9" s="2">
        <f t="shared" si="6"/>
        <v>139.72307207333367</v>
      </c>
      <c r="M9" s="2">
        <f t="shared" si="7"/>
        <v>0.59643250000000003</v>
      </c>
      <c r="N9" s="2">
        <f t="shared" si="8"/>
        <v>30.813223856855306</v>
      </c>
      <c r="P9" s="4">
        <f t="shared" si="9"/>
        <v>0.68392839932667848</v>
      </c>
      <c r="Q9" s="4">
        <f t="shared" si="10"/>
        <v>1.0431026301462096</v>
      </c>
      <c r="R9" s="4">
        <f t="shared" si="11"/>
        <v>7.4655002546661518E-3</v>
      </c>
      <c r="S9" s="4">
        <f t="shared" si="1"/>
        <v>0.81676144591443023</v>
      </c>
      <c r="T9" s="2">
        <f t="shared" si="2"/>
        <v>178.07628946496499</v>
      </c>
      <c r="U9" s="6">
        <f t="shared" si="12"/>
        <v>0.64085128186969764</v>
      </c>
      <c r="V9" s="4">
        <f t="shared" si="13"/>
        <v>0.93701516489242165</v>
      </c>
      <c r="W9" s="4">
        <f t="shared" si="14"/>
        <v>0.99702905680067511</v>
      </c>
      <c r="X9" s="3">
        <f t="shared" si="15"/>
        <v>24.526635790425932</v>
      </c>
      <c r="Y9" s="8">
        <f t="shared" si="16"/>
        <v>21.064497446108074</v>
      </c>
      <c r="Z9" s="3">
        <f t="shared" si="17"/>
        <v>12.563550873025854</v>
      </c>
      <c r="AA9" s="3">
        <f t="shared" si="18"/>
        <v>3426.9369002620874</v>
      </c>
      <c r="AB9" s="3"/>
      <c r="AC9" s="3"/>
      <c r="AD9" s="15"/>
    </row>
    <row r="10" spans="1:30">
      <c r="A10" s="7">
        <f t="shared" si="3"/>
        <v>490</v>
      </c>
      <c r="B10" s="3">
        <f t="shared" si="3"/>
        <v>-46.571899999999999</v>
      </c>
      <c r="D10" s="1">
        <f t="shared" si="19"/>
        <v>8</v>
      </c>
      <c r="E10" s="2">
        <f t="shared" si="20"/>
        <v>10</v>
      </c>
      <c r="F10" s="2">
        <f t="shared" si="20"/>
        <v>10</v>
      </c>
      <c r="G10" s="2">
        <f t="shared" si="4"/>
        <v>7.0710678118654746</v>
      </c>
      <c r="H10" s="20">
        <f t="shared" si="0"/>
        <v>15</v>
      </c>
      <c r="I10" s="2">
        <f t="shared" si="21"/>
        <v>120</v>
      </c>
      <c r="J10" s="20">
        <f t="shared" si="5"/>
        <v>61.571899999999999</v>
      </c>
      <c r="K10" s="2">
        <f t="shared" si="21"/>
        <v>120</v>
      </c>
      <c r="L10" s="2">
        <f t="shared" si="6"/>
        <v>134.87438181363427</v>
      </c>
      <c r="M10" s="2">
        <f t="shared" si="7"/>
        <v>0.51309916666666666</v>
      </c>
      <c r="N10" s="2">
        <f t="shared" si="8"/>
        <v>27.162321502996534</v>
      </c>
      <c r="P10" s="4">
        <f t="shared" si="9"/>
        <v>0.71023687393867452</v>
      </c>
      <c r="Q10" s="4">
        <f t="shared" si="10"/>
        <v>1.1163756174572679</v>
      </c>
      <c r="R10" s="4">
        <f t="shared" si="11"/>
        <v>8.2771509492428671E-3</v>
      </c>
      <c r="S10" s="4">
        <f t="shared" si="1"/>
        <v>0.81676144591443023</v>
      </c>
      <c r="T10" s="2">
        <f t="shared" si="2"/>
        <v>178.07628946496499</v>
      </c>
      <c r="U10" s="6">
        <f t="shared" si="12"/>
        <v>0.61861236797946617</v>
      </c>
      <c r="V10" s="4">
        <f t="shared" si="13"/>
        <v>0.87099443957183265</v>
      </c>
      <c r="W10" s="4">
        <f t="shared" si="14"/>
        <v>0.99155345324033939</v>
      </c>
      <c r="X10" s="3">
        <f t="shared" si="15"/>
        <v>23.792400050469414</v>
      </c>
      <c r="Y10" s="8">
        <f t="shared" si="16"/>
        <v>21.168497439353693</v>
      </c>
      <c r="Z10" s="3">
        <f t="shared" si="17"/>
        <v>10.861538395717849</v>
      </c>
      <c r="AA10" s="3">
        <f t="shared" si="18"/>
        <v>3208.9852486697432</v>
      </c>
      <c r="AB10" s="3"/>
      <c r="AC10" s="3"/>
      <c r="AD10" s="15"/>
    </row>
    <row r="11" spans="1:30">
      <c r="A11" s="7">
        <f t="shared" si="3"/>
        <v>490</v>
      </c>
      <c r="B11" s="3">
        <f t="shared" si="3"/>
        <v>-46.571899999999999</v>
      </c>
      <c r="D11" s="1">
        <f t="shared" si="19"/>
        <v>9</v>
      </c>
      <c r="E11" s="2">
        <f t="shared" si="20"/>
        <v>10</v>
      </c>
      <c r="F11" s="2">
        <f t="shared" si="20"/>
        <v>10</v>
      </c>
      <c r="G11" s="2">
        <f t="shared" si="4"/>
        <v>7.0710678118654746</v>
      </c>
      <c r="H11" s="20">
        <f t="shared" si="0"/>
        <v>5</v>
      </c>
      <c r="I11" s="2">
        <f t="shared" si="21"/>
        <v>120</v>
      </c>
      <c r="J11" s="20">
        <f t="shared" si="5"/>
        <v>51.571899999999999</v>
      </c>
      <c r="K11" s="2">
        <f t="shared" si="21"/>
        <v>120</v>
      </c>
      <c r="L11" s="2">
        <f t="shared" si="6"/>
        <v>130.61263671486768</v>
      </c>
      <c r="M11" s="2">
        <f t="shared" si="7"/>
        <v>0.42976583333333335</v>
      </c>
      <c r="N11" s="2">
        <f t="shared" si="8"/>
        <v>23.256380730583256</v>
      </c>
      <c r="P11" s="4">
        <f t="shared" si="9"/>
        <v>0.74368244362924385</v>
      </c>
      <c r="Q11" s="4">
        <f t="shared" si="10"/>
        <v>1.2111171518991735</v>
      </c>
      <c r="R11" s="4">
        <f t="shared" si="11"/>
        <v>9.2725878778719389E-3</v>
      </c>
      <c r="S11" s="4">
        <f t="shared" si="1"/>
        <v>0.81676144591443023</v>
      </c>
      <c r="T11" s="2">
        <f t="shared" si="2"/>
        <v>178.07628946496499</v>
      </c>
      <c r="U11" s="6">
        <f t="shared" si="12"/>
        <v>0.59906552600827734</v>
      </c>
      <c r="V11" s="4">
        <f t="shared" si="13"/>
        <v>0.80553942228994724</v>
      </c>
      <c r="W11" s="4">
        <f t="shared" si="14"/>
        <v>0.98364640661761005</v>
      </c>
      <c r="X11" s="3">
        <f t="shared" si="15"/>
        <v>22.985748100776306</v>
      </c>
      <c r="Y11" s="8">
        <f t="shared" si="16"/>
        <v>21.11809271651569</v>
      </c>
      <c r="Z11" s="3">
        <f t="shared" si="17"/>
        <v>9.0758347147239622</v>
      </c>
      <c r="AA11" s="3">
        <f t="shared" si="18"/>
        <v>3002.2291663061551</v>
      </c>
      <c r="AB11" s="3"/>
      <c r="AC11" s="3"/>
      <c r="AD11" s="15"/>
    </row>
    <row r="12" spans="1:30">
      <c r="A12" s="7">
        <f t="shared" ref="A12:B14" si="22">A11</f>
        <v>490</v>
      </c>
      <c r="B12" s="3">
        <f t="shared" si="22"/>
        <v>-46.571899999999999</v>
      </c>
      <c r="D12" s="1">
        <f t="shared" si="19"/>
        <v>10</v>
      </c>
      <c r="E12" s="2">
        <f t="shared" ref="E12:F14" si="23">E11</f>
        <v>10</v>
      </c>
      <c r="F12" s="2">
        <f t="shared" si="23"/>
        <v>10</v>
      </c>
      <c r="G12" s="2">
        <f>F12/SQRT(2)</f>
        <v>7.0710678118654746</v>
      </c>
      <c r="H12" s="20">
        <f t="shared" si="0"/>
        <v>-5</v>
      </c>
      <c r="I12" s="2">
        <f>I11</f>
        <v>120</v>
      </c>
      <c r="J12" s="20">
        <f>H12-B12</f>
        <v>41.571899999999999</v>
      </c>
      <c r="K12" s="2">
        <f>K11</f>
        <v>120</v>
      </c>
      <c r="L12" s="2">
        <f>SQRT(J12^2+K12^2)</f>
        <v>126.99694039468037</v>
      </c>
      <c r="M12" s="2">
        <f>ABS(J12/K12)</f>
        <v>0.34643249999999998</v>
      </c>
      <c r="N12" s="2">
        <f>ATAN(M12)*180/PI()</f>
        <v>19.10774811170678</v>
      </c>
      <c r="P12" s="4">
        <f>0.209 * (N12+2)^-0.32 * F12</f>
        <v>0.7876347653538901</v>
      </c>
      <c r="Q12" s="4">
        <f>MIN(1.087*(N12+6)^-0.65 * F12, 0.17*F12)</f>
        <v>1.337686974177184</v>
      </c>
      <c r="R12" s="4">
        <f>Q12/L12</f>
        <v>1.0533222060467976E-2</v>
      </c>
      <c r="S12" s="4">
        <f t="shared" si="1"/>
        <v>0.81676144591443023</v>
      </c>
      <c r="T12" s="2">
        <f t="shared" si="2"/>
        <v>178.07628946496499</v>
      </c>
      <c r="U12" s="6">
        <f>S12*L12/T12</f>
        <v>0.58248183952572252</v>
      </c>
      <c r="V12" s="4">
        <f>U12/P12</f>
        <v>0.73953292204415222</v>
      </c>
      <c r="W12" s="4">
        <f>POWER(V12*(1.9-0.9*V12),0.3)</f>
        <v>0.97302988172642613</v>
      </c>
      <c r="X12" s="3">
        <f>0.6*A12*G12*E12*(1+0.5*SIN(N12*PI()/180)^1.5)*W12/1000</f>
        <v>22.122514196273407</v>
      </c>
      <c r="Y12" s="8">
        <f>X12*COS(N12*PI()/180)</f>
        <v>20.903666618286568</v>
      </c>
      <c r="Z12" s="3">
        <f>X12*SIN(N12*PI()/180)</f>
        <v>7.2417094857395607</v>
      </c>
      <c r="AA12" s="3">
        <f>L12*X12</f>
        <v>2809.4916167646043</v>
      </c>
      <c r="AB12" s="3"/>
      <c r="AC12" s="3"/>
      <c r="AD12" s="15"/>
    </row>
    <row r="13" spans="1:30">
      <c r="A13" s="7">
        <f t="shared" si="22"/>
        <v>490</v>
      </c>
      <c r="B13" s="3">
        <f t="shared" si="22"/>
        <v>-46.571899999999999</v>
      </c>
      <c r="D13" s="1">
        <f t="shared" si="19"/>
        <v>11</v>
      </c>
      <c r="E13" s="2">
        <f t="shared" si="23"/>
        <v>10</v>
      </c>
      <c r="F13" s="2">
        <f t="shared" si="23"/>
        <v>10</v>
      </c>
      <c r="G13" s="2">
        <f>F13/SQRT(2)</f>
        <v>7.0710678118654746</v>
      </c>
      <c r="H13" s="20">
        <f t="shared" si="0"/>
        <v>-15</v>
      </c>
      <c r="I13" s="2">
        <f>I12</f>
        <v>120</v>
      </c>
      <c r="J13" s="20">
        <f>H13-B13</f>
        <v>31.571899999999999</v>
      </c>
      <c r="K13" s="2">
        <f>K12</f>
        <v>120</v>
      </c>
      <c r="L13" s="2">
        <f>SQRT(J13^2+K13^2)</f>
        <v>124.08378165421136</v>
      </c>
      <c r="M13" s="2">
        <f>ABS(J13/K13)</f>
        <v>0.26309916666666666</v>
      </c>
      <c r="N13" s="2">
        <f>ATAN(M13)*180/PI()</f>
        <v>14.740415852459114</v>
      </c>
      <c r="P13" s="4">
        <f>0.209 * (N13+2)^-0.32 * F13</f>
        <v>0.8482836347834235</v>
      </c>
      <c r="Q13" s="4">
        <f>MIN(1.087*(N13+6)^-0.65 * F13, 0.17*F13)</f>
        <v>1.5146008462993421</v>
      </c>
      <c r="R13" s="4">
        <f>Q13/L13</f>
        <v>1.220627568008955E-2</v>
      </c>
      <c r="S13" s="4">
        <f t="shared" si="1"/>
        <v>0.81676144591443023</v>
      </c>
      <c r="T13" s="2">
        <f t="shared" si="2"/>
        <v>178.07628946496499</v>
      </c>
      <c r="U13" s="6">
        <f>S13*L13/T13</f>
        <v>0.56912039903191758</v>
      </c>
      <c r="V13" s="4">
        <f>U13/P13</f>
        <v>0.67090814403984167</v>
      </c>
      <c r="W13" s="4">
        <f>POWER(V13*(1.9-0.9*V13),0.3)</f>
        <v>0.95895622423303362</v>
      </c>
      <c r="X13" s="3">
        <f>0.6*A13*G13*E13*(1+0.5*SIN(N13*PI()/180)^1.5)*W13/1000</f>
        <v>21.215004204590855</v>
      </c>
      <c r="Y13" s="8">
        <f>X13*COS(N13*PI()/180)</f>
        <v>20.516786888760166</v>
      </c>
      <c r="Z13" s="3">
        <f>X13*SIN(N13*PI()/180)</f>
        <v>5.3979495331103919</v>
      </c>
      <c r="AA13" s="3">
        <f>L13*X13</f>
        <v>2632.4379495156277</v>
      </c>
      <c r="AB13" s="3"/>
      <c r="AC13" s="3"/>
      <c r="AD13" s="15"/>
    </row>
    <row r="14" spans="1:30">
      <c r="A14" s="7">
        <f t="shared" si="22"/>
        <v>490</v>
      </c>
      <c r="B14" s="3">
        <f t="shared" si="22"/>
        <v>-46.571899999999999</v>
      </c>
      <c r="D14" s="1">
        <f t="shared" si="19"/>
        <v>12</v>
      </c>
      <c r="E14" s="2">
        <f t="shared" si="23"/>
        <v>10</v>
      </c>
      <c r="F14" s="2">
        <f t="shared" si="23"/>
        <v>10</v>
      </c>
      <c r="G14" s="2">
        <f>F14/SQRT(2)</f>
        <v>7.0710678118654746</v>
      </c>
      <c r="H14" s="20">
        <f t="shared" si="0"/>
        <v>-25</v>
      </c>
      <c r="I14" s="2">
        <f>I13</f>
        <v>120</v>
      </c>
      <c r="J14" s="20">
        <f>H14-B14</f>
        <v>21.571899999999999</v>
      </c>
      <c r="K14" s="2">
        <f>K13</f>
        <v>120</v>
      </c>
      <c r="L14" s="2">
        <f>SQRT(J14^2+K14^2)</f>
        <v>121.92352877771378</v>
      </c>
      <c r="M14" s="2">
        <f>ABS(J14/K14)</f>
        <v>0.17976583333333332</v>
      </c>
      <c r="N14" s="2">
        <f>ATAN(M14)*180/PI()</f>
        <v>10.19097749036429</v>
      </c>
      <c r="P14" s="4">
        <f>0.209 * (N14+2)^-0.32 * F14</f>
        <v>0.93888836398478892</v>
      </c>
      <c r="Q14" s="4">
        <f>MIN(1.087*(N14+6)^-0.65 * F14, 0.17*F14)</f>
        <v>1.7000000000000002</v>
      </c>
      <c r="R14" s="4">
        <f>Q14/L14</f>
        <v>1.3943165991359828E-2</v>
      </c>
      <c r="S14" s="4">
        <f t="shared" si="1"/>
        <v>0.81676144591443023</v>
      </c>
      <c r="T14" s="2">
        <f t="shared" si="2"/>
        <v>178.07628946496499</v>
      </c>
      <c r="U14" s="6">
        <f>S14*L14/T14</f>
        <v>0.55921222277639138</v>
      </c>
      <c r="V14" s="4">
        <f>U14/P14</f>
        <v>0.59561098446572214</v>
      </c>
      <c r="W14" s="4">
        <f>POWER(V14*(1.9-0.9*V14),0.3)</f>
        <v>0.9395682994914315</v>
      </c>
      <c r="X14" s="3">
        <f>0.6*A14*G14*E14*(1+0.5*SIN(N14*PI()/180)^1.5)*W14/1000</f>
        <v>20.259457002975342</v>
      </c>
      <c r="Y14" s="8">
        <f>X14*COS(N14*PI()/180)</f>
        <v>19.939833309691942</v>
      </c>
      <c r="Z14" s="3">
        <f>X14*SIN(N14*PI()/180)</f>
        <v>3.58450075144453</v>
      </c>
      <c r="AA14" s="3">
        <f>L14*X14</f>
        <v>2470.1044889231193</v>
      </c>
      <c r="AB14" s="3"/>
      <c r="AC14" s="3"/>
      <c r="AD14" s="15"/>
    </row>
    <row r="15" spans="1:30" ht="22.5" customHeight="1">
      <c r="A15" s="11" t="s">
        <v>28</v>
      </c>
      <c r="B15" s="11" t="s">
        <v>37</v>
      </c>
      <c r="C15" s="12"/>
      <c r="D15" s="13" t="s">
        <v>1</v>
      </c>
      <c r="E15" s="11" t="s">
        <v>21</v>
      </c>
      <c r="F15" s="13" t="s">
        <v>2</v>
      </c>
      <c r="G15" s="13" t="s">
        <v>3</v>
      </c>
      <c r="H15" s="13" t="s">
        <v>38</v>
      </c>
      <c r="I15" s="13" t="s">
        <v>39</v>
      </c>
      <c r="J15" s="11" t="s">
        <v>42</v>
      </c>
      <c r="K15" s="11" t="s">
        <v>43</v>
      </c>
      <c r="L15" s="11" t="s">
        <v>165</v>
      </c>
      <c r="M15" s="13" t="s">
        <v>19</v>
      </c>
      <c r="N15" s="13" t="s">
        <v>20</v>
      </c>
      <c r="O15" s="12"/>
      <c r="P15" s="14" t="s">
        <v>6</v>
      </c>
      <c r="Q15" s="14" t="s">
        <v>7</v>
      </c>
      <c r="R15" s="14" t="s">
        <v>8</v>
      </c>
      <c r="S15" s="14" t="s">
        <v>22</v>
      </c>
      <c r="T15" s="14" t="s">
        <v>23</v>
      </c>
      <c r="U15" s="14" t="s">
        <v>9</v>
      </c>
      <c r="V15" s="14" t="s">
        <v>10</v>
      </c>
      <c r="W15" s="14" t="s">
        <v>12</v>
      </c>
      <c r="X15" s="14" t="s">
        <v>13</v>
      </c>
      <c r="Y15" s="14" t="s">
        <v>14</v>
      </c>
      <c r="Z15" s="14" t="s">
        <v>15</v>
      </c>
      <c r="AA15" s="14" t="s">
        <v>16</v>
      </c>
      <c r="AB15" s="14" t="s">
        <v>41</v>
      </c>
      <c r="AC15" s="14" t="s">
        <v>29</v>
      </c>
      <c r="AD15" s="14" t="s">
        <v>27</v>
      </c>
    </row>
    <row r="16" spans="1:30" ht="22.5" customHeight="1">
      <c r="A16" s="11" t="s">
        <v>24</v>
      </c>
      <c r="B16" s="11" t="s">
        <v>4</v>
      </c>
      <c r="C16" s="12"/>
      <c r="D16" s="13" t="s">
        <v>0</v>
      </c>
      <c r="E16" s="13" t="s">
        <v>4</v>
      </c>
      <c r="F16" s="13" t="s">
        <v>4</v>
      </c>
      <c r="G16" s="13" t="s">
        <v>4</v>
      </c>
      <c r="H16" s="13" t="s">
        <v>4</v>
      </c>
      <c r="I16" s="13" t="s">
        <v>4</v>
      </c>
      <c r="J16" s="13" t="s">
        <v>4</v>
      </c>
      <c r="K16" s="13" t="s">
        <v>4</v>
      </c>
      <c r="L16" s="13" t="s">
        <v>4</v>
      </c>
      <c r="M16" s="13" t="s">
        <v>45</v>
      </c>
      <c r="N16" s="13" t="s">
        <v>5</v>
      </c>
      <c r="O16" s="12"/>
      <c r="P16" s="13" t="s">
        <v>4</v>
      </c>
      <c r="Q16" s="13" t="s">
        <v>4</v>
      </c>
      <c r="R16" s="13"/>
      <c r="S16" s="13" t="s">
        <v>4</v>
      </c>
      <c r="T16" s="13" t="s">
        <v>4</v>
      </c>
      <c r="U16" s="13" t="s">
        <v>4</v>
      </c>
      <c r="V16" s="14" t="s">
        <v>11</v>
      </c>
      <c r="W16" s="13"/>
      <c r="X16" s="13" t="s">
        <v>18</v>
      </c>
      <c r="Y16" s="13" t="s">
        <v>18</v>
      </c>
      <c r="Z16" s="13" t="s">
        <v>18</v>
      </c>
      <c r="AA16" s="13" t="s">
        <v>17</v>
      </c>
      <c r="AB16" s="14" t="s">
        <v>4</v>
      </c>
      <c r="AC16" s="14" t="s">
        <v>18</v>
      </c>
      <c r="AD16" s="13" t="s">
        <v>17</v>
      </c>
    </row>
    <row r="17" spans="1:30">
      <c r="A17" s="7">
        <f>A3</f>
        <v>490</v>
      </c>
      <c r="B17" s="3">
        <f>B3</f>
        <v>-46.571899999999999</v>
      </c>
      <c r="D17" s="1">
        <f>MAX(D3:D14)+1</f>
        <v>13</v>
      </c>
      <c r="E17" s="2">
        <f>E3</f>
        <v>10</v>
      </c>
      <c r="F17" s="2">
        <f>F3</f>
        <v>10</v>
      </c>
      <c r="G17" s="2">
        <f t="shared" si="4"/>
        <v>7.0710678118654746</v>
      </c>
      <c r="H17" s="2">
        <f>-$AB$3</f>
        <v>-30</v>
      </c>
      <c r="I17" s="2">
        <f t="shared" ref="I17:I28" si="24">E17*(MAX($D$17:$D$28)-D17+0.5)</f>
        <v>115</v>
      </c>
      <c r="J17" s="20">
        <f t="shared" ref="J17:J28" si="25">H17-B17</f>
        <v>16.571899999999999</v>
      </c>
      <c r="K17" s="2">
        <f>I17</f>
        <v>115</v>
      </c>
      <c r="L17" s="2">
        <f t="shared" ref="L17:L28" si="26">SQRT(J17^2+K17^2)</f>
        <v>116.18789898096101</v>
      </c>
      <c r="M17" s="2">
        <f>IF(J17=0,"infinity",ABS(K17/J17))</f>
        <v>6.9394577568051945</v>
      </c>
      <c r="N17" s="2">
        <f>IF(J17=0,90,ATAN(M17)*180/PI())</f>
        <v>81.79992832604448</v>
      </c>
      <c r="P17" s="4">
        <f>0.209 * (ABS(N17)+2)^-0.32 * F17</f>
        <v>0.5066503173473037</v>
      </c>
      <c r="Q17" s="4">
        <f t="shared" si="10"/>
        <v>0.59286844942960459</v>
      </c>
      <c r="R17" s="4">
        <f t="shared" si="11"/>
        <v>5.1026695088681679E-3</v>
      </c>
      <c r="S17" s="4">
        <f t="shared" ref="S17:S28" si="27">INDEX($Q$3:$Q$28, MATCH(MIN($R$3:$R$28),$R$3:$R$28,0))</f>
        <v>0.81676144591443023</v>
      </c>
      <c r="T17" s="2">
        <f t="shared" ref="T17:T28" si="28">INDEX($L$3:$L$28, MATCH(MIN($R$3:$R$28),$R$3:$R$28,0))</f>
        <v>178.07628946496499</v>
      </c>
      <c r="U17" s="6">
        <f t="shared" si="12"/>
        <v>0.53290528825916383</v>
      </c>
      <c r="V17" s="4">
        <f t="shared" si="13"/>
        <v>1.0518206937071011</v>
      </c>
      <c r="W17" s="4">
        <f t="shared" si="14"/>
        <v>1.000828765428543</v>
      </c>
      <c r="X17" s="3">
        <f t="shared" si="15"/>
        <v>31.050120382431569</v>
      </c>
      <c r="Y17" s="8">
        <f>X17*SIN(N17*PI()/180)</f>
        <v>30.732665581333471</v>
      </c>
      <c r="Z17" s="3">
        <f>X17*COS(N17*PI()/180)</f>
        <v>4.4286840064982593</v>
      </c>
      <c r="AA17" s="3">
        <f t="shared" si="18"/>
        <v>3607.6482503406373</v>
      </c>
      <c r="AB17" s="3">
        <v>210</v>
      </c>
      <c r="AC17" s="3"/>
      <c r="AD17" s="3"/>
    </row>
    <row r="18" spans="1:30">
      <c r="A18" s="7">
        <f t="shared" si="3"/>
        <v>490</v>
      </c>
      <c r="B18" s="3">
        <f t="shared" si="3"/>
        <v>-46.571899999999999</v>
      </c>
      <c r="D18" s="1">
        <f>D17+1</f>
        <v>14</v>
      </c>
      <c r="E18" s="2">
        <f t="shared" si="20"/>
        <v>10</v>
      </c>
      <c r="F18" s="2">
        <f t="shared" si="20"/>
        <v>10</v>
      </c>
      <c r="G18" s="2">
        <f t="shared" si="4"/>
        <v>7.0710678118654746</v>
      </c>
      <c r="H18" s="2">
        <f t="shared" ref="H18:H28" si="29">-$AB$3</f>
        <v>-30</v>
      </c>
      <c r="I18" s="2">
        <f t="shared" si="24"/>
        <v>105</v>
      </c>
      <c r="J18" s="20">
        <f t="shared" si="25"/>
        <v>16.571899999999999</v>
      </c>
      <c r="K18" s="2">
        <f t="shared" ref="K18:K28" si="30">I18</f>
        <v>105</v>
      </c>
      <c r="L18" s="2">
        <f t="shared" si="26"/>
        <v>106.29970775881748</v>
      </c>
      <c r="M18" s="2">
        <f t="shared" ref="M18:M28" si="31">IF(J18=0,"infinity",ABS(K18/J18))</f>
        <v>6.3360266475177864</v>
      </c>
      <c r="N18" s="2">
        <f t="shared" ref="N18:N28" si="32">IF(J18=0,90,ATAN(M18)*180/PI())</f>
        <v>81.031125449444801</v>
      </c>
      <c r="P18" s="4">
        <f t="shared" si="9"/>
        <v>0.50814679441819488</v>
      </c>
      <c r="Q18" s="4">
        <f t="shared" si="10"/>
        <v>0.59626738446732275</v>
      </c>
      <c r="R18" s="4">
        <f t="shared" si="11"/>
        <v>5.6093040803102566E-3</v>
      </c>
      <c r="S18" s="4">
        <f t="shared" si="27"/>
        <v>0.81676144591443023</v>
      </c>
      <c r="T18" s="2">
        <f t="shared" si="28"/>
        <v>178.07628946496499</v>
      </c>
      <c r="U18" s="6">
        <f t="shared" si="12"/>
        <v>0.48755229160620256</v>
      </c>
      <c r="V18" s="4">
        <f t="shared" si="13"/>
        <v>0.95947135151059626</v>
      </c>
      <c r="W18" s="4">
        <f t="shared" si="14"/>
        <v>0.99833742381099455</v>
      </c>
      <c r="X18" s="3">
        <f t="shared" si="15"/>
        <v>30.941827130548845</v>
      </c>
      <c r="Y18" s="8">
        <f t="shared" ref="Y18:Y28" si="33">X18*SIN(N18*PI()/180)</f>
        <v>30.563506873217491</v>
      </c>
      <c r="Z18" s="3">
        <f t="shared" ref="Z18:Z28" si="34">X18*COS(N18*PI()/180)</f>
        <v>4.8237655195454554</v>
      </c>
      <c r="AA18" s="3">
        <f t="shared" si="18"/>
        <v>3289.1071815011919</v>
      </c>
      <c r="AB18" s="3"/>
      <c r="AC18" s="17"/>
      <c r="AD18" s="3"/>
    </row>
    <row r="19" spans="1:30">
      <c r="A19" s="7">
        <f t="shared" si="3"/>
        <v>490</v>
      </c>
      <c r="B19" s="3">
        <f t="shared" si="3"/>
        <v>-46.571899999999999</v>
      </c>
      <c r="D19" s="1">
        <f t="shared" ref="D19:D28" si="35">D18+1</f>
        <v>15</v>
      </c>
      <c r="E19" s="2">
        <f t="shared" si="20"/>
        <v>10</v>
      </c>
      <c r="F19" s="2">
        <f t="shared" si="20"/>
        <v>10</v>
      </c>
      <c r="G19" s="2">
        <f t="shared" si="4"/>
        <v>7.0710678118654746</v>
      </c>
      <c r="H19" s="2">
        <f t="shared" si="29"/>
        <v>-30</v>
      </c>
      <c r="I19" s="2">
        <f t="shared" si="24"/>
        <v>95</v>
      </c>
      <c r="J19" s="20">
        <f t="shared" si="25"/>
        <v>16.571899999999999</v>
      </c>
      <c r="K19" s="2">
        <f t="shared" si="30"/>
        <v>95</v>
      </c>
      <c r="L19" s="2">
        <f t="shared" si="26"/>
        <v>96.43457818443548</v>
      </c>
      <c r="M19" s="2">
        <f t="shared" si="31"/>
        <v>5.7325955382303784</v>
      </c>
      <c r="N19" s="2">
        <f t="shared" si="32"/>
        <v>80.104831133082484</v>
      </c>
      <c r="P19" s="4">
        <f t="shared" si="9"/>
        <v>0.50997430903461882</v>
      </c>
      <c r="Q19" s="4">
        <f t="shared" si="10"/>
        <v>0.60042899520404291</v>
      </c>
      <c r="R19" s="4">
        <f t="shared" si="11"/>
        <v>6.226283211979166E-3</v>
      </c>
      <c r="S19" s="4">
        <f t="shared" si="27"/>
        <v>0.81676144591443023</v>
      </c>
      <c r="T19" s="2">
        <f t="shared" si="28"/>
        <v>178.07628946496499</v>
      </c>
      <c r="U19" s="6">
        <f t="shared" si="12"/>
        <v>0.44230506908424694</v>
      </c>
      <c r="V19" s="4">
        <f t="shared" si="13"/>
        <v>0.86730853152491205</v>
      </c>
      <c r="W19" s="4">
        <f t="shared" si="14"/>
        <v>0.99117485131889482</v>
      </c>
      <c r="X19" s="3">
        <f t="shared" si="15"/>
        <v>30.679169901625606</v>
      </c>
      <c r="Y19" s="8">
        <f t="shared" si="33"/>
        <v>30.222781034830465</v>
      </c>
      <c r="Z19" s="3">
        <f t="shared" si="34"/>
        <v>5.2720937371695484</v>
      </c>
      <c r="AA19" s="3">
        <f t="shared" si="18"/>
        <v>2958.5328085118945</v>
      </c>
      <c r="AB19" s="14" t="s">
        <v>46</v>
      </c>
      <c r="AC19" s="3"/>
      <c r="AD19" s="3"/>
    </row>
    <row r="20" spans="1:30">
      <c r="A20" s="7">
        <f t="shared" ref="A20:B28" si="36">A19</f>
        <v>490</v>
      </c>
      <c r="B20" s="3">
        <f t="shared" si="36"/>
        <v>-46.571899999999999</v>
      </c>
      <c r="D20" s="1">
        <f t="shared" si="35"/>
        <v>16</v>
      </c>
      <c r="E20" s="2">
        <f t="shared" si="20"/>
        <v>10</v>
      </c>
      <c r="F20" s="2">
        <f t="shared" si="20"/>
        <v>10</v>
      </c>
      <c r="G20" s="2">
        <f t="shared" si="4"/>
        <v>7.0710678118654746</v>
      </c>
      <c r="H20" s="2">
        <f t="shared" si="29"/>
        <v>-30</v>
      </c>
      <c r="I20" s="2">
        <f t="shared" si="24"/>
        <v>85</v>
      </c>
      <c r="J20" s="20">
        <f t="shared" si="25"/>
        <v>16.571899999999999</v>
      </c>
      <c r="K20" s="2">
        <f t="shared" si="30"/>
        <v>85</v>
      </c>
      <c r="L20" s="2">
        <f t="shared" si="26"/>
        <v>86.600391855984114</v>
      </c>
      <c r="M20" s="2">
        <f t="shared" si="31"/>
        <v>5.1291644289429703</v>
      </c>
      <c r="N20" s="2">
        <f t="shared" si="32"/>
        <v>78.967804074563787</v>
      </c>
      <c r="P20" s="4">
        <f t="shared" si="9"/>
        <v>0.51225514681131912</v>
      </c>
      <c r="Q20" s="4">
        <f t="shared" si="10"/>
        <v>0.60563949370449333</v>
      </c>
      <c r="R20" s="4">
        <f t="shared" si="11"/>
        <v>6.9934959960881917E-3</v>
      </c>
      <c r="S20" s="4">
        <f t="shared" si="27"/>
        <v>0.81676144591443023</v>
      </c>
      <c r="T20" s="2">
        <f t="shared" si="28"/>
        <v>178.07628946496499</v>
      </c>
      <c r="U20" s="6">
        <f t="shared" si="12"/>
        <v>0.3971997702870248</v>
      </c>
      <c r="V20" s="4">
        <f t="shared" si="13"/>
        <v>0.77539439624864692</v>
      </c>
      <c r="W20" s="4">
        <f t="shared" si="14"/>
        <v>0.97913789344577906</v>
      </c>
      <c r="X20" s="3">
        <f t="shared" si="15"/>
        <v>30.252038397096641</v>
      </c>
      <c r="Y20" s="8">
        <f t="shared" si="33"/>
        <v>29.69297492359474</v>
      </c>
      <c r="Z20" s="3">
        <f t="shared" si="34"/>
        <v>5.7890471898390601</v>
      </c>
      <c r="AA20" s="3">
        <f t="shared" si="18"/>
        <v>2619.8383796308467</v>
      </c>
      <c r="AB20" s="14" t="s">
        <v>4</v>
      </c>
      <c r="AC20" s="3"/>
      <c r="AD20" s="3"/>
    </row>
    <row r="21" spans="1:30">
      <c r="A21" s="7">
        <f t="shared" si="36"/>
        <v>490</v>
      </c>
      <c r="B21" s="3">
        <f t="shared" si="36"/>
        <v>-46.571899999999999</v>
      </c>
      <c r="D21" s="1">
        <f t="shared" si="35"/>
        <v>17</v>
      </c>
      <c r="E21" s="2">
        <f t="shared" ref="E21:F28" si="37">E20</f>
        <v>10</v>
      </c>
      <c r="F21" s="2">
        <f t="shared" si="37"/>
        <v>10</v>
      </c>
      <c r="G21" s="2">
        <f t="shared" si="4"/>
        <v>7.0710678118654746</v>
      </c>
      <c r="H21" s="2">
        <f t="shared" si="29"/>
        <v>-30</v>
      </c>
      <c r="I21" s="2">
        <f t="shared" si="24"/>
        <v>75</v>
      </c>
      <c r="J21" s="20">
        <f t="shared" si="25"/>
        <v>16.571899999999999</v>
      </c>
      <c r="K21" s="2">
        <f t="shared" si="30"/>
        <v>75</v>
      </c>
      <c r="L21" s="2">
        <f t="shared" si="26"/>
        <v>76.80903507797764</v>
      </c>
      <c r="M21" s="2">
        <f t="shared" si="31"/>
        <v>4.5257333196555614</v>
      </c>
      <c r="N21" s="2">
        <f t="shared" si="32"/>
        <v>77.540200233468795</v>
      </c>
      <c r="P21" s="4">
        <f t="shared" si="9"/>
        <v>0.51517947065471836</v>
      </c>
      <c r="Q21" s="4">
        <f t="shared" si="10"/>
        <v>0.61234681229645349</v>
      </c>
      <c r="R21" s="4">
        <f t="shared" si="11"/>
        <v>7.9723278866189393E-3</v>
      </c>
      <c r="S21" s="4">
        <f t="shared" si="27"/>
        <v>0.81676144591443023</v>
      </c>
      <c r="T21" s="2">
        <f t="shared" si="28"/>
        <v>178.07628946496499</v>
      </c>
      <c r="U21" s="6">
        <f t="shared" si="12"/>
        <v>0.35229091272099827</v>
      </c>
      <c r="V21" s="4">
        <f t="shared" si="13"/>
        <v>0.68382172192010604</v>
      </c>
      <c r="W21" s="4">
        <f t="shared" si="14"/>
        <v>0.96185416888392716</v>
      </c>
      <c r="X21" s="3">
        <f t="shared" si="15"/>
        <v>29.642766314333876</v>
      </c>
      <c r="Y21" s="8">
        <f t="shared" si="33"/>
        <v>28.944608812205601</v>
      </c>
      <c r="Z21" s="3">
        <f t="shared" si="34"/>
        <v>6.3955621703331991</v>
      </c>
      <c r="AA21" s="3">
        <f t="shared" si="18"/>
        <v>2276.8322776459645</v>
      </c>
      <c r="AB21" s="3">
        <f>AB17-B3</f>
        <v>256.57190000000003</v>
      </c>
      <c r="AC21" s="3"/>
      <c r="AD21" s="3"/>
    </row>
    <row r="22" spans="1:30" hidden="1">
      <c r="A22" s="7">
        <f t="shared" si="36"/>
        <v>490</v>
      </c>
      <c r="B22" s="3">
        <f t="shared" si="36"/>
        <v>-46.571899999999999</v>
      </c>
      <c r="D22" s="1">
        <f t="shared" si="35"/>
        <v>18</v>
      </c>
      <c r="E22" s="2">
        <f t="shared" si="37"/>
        <v>10</v>
      </c>
      <c r="F22" s="2">
        <f t="shared" si="37"/>
        <v>10</v>
      </c>
      <c r="G22" s="2">
        <f t="shared" si="4"/>
        <v>7.0710678118654746</v>
      </c>
      <c r="H22" s="2">
        <f t="shared" si="29"/>
        <v>-30</v>
      </c>
      <c r="I22" s="2">
        <f t="shared" si="24"/>
        <v>65</v>
      </c>
      <c r="J22" s="20">
        <f t="shared" si="25"/>
        <v>16.571899999999999</v>
      </c>
      <c r="K22" s="2">
        <f t="shared" si="30"/>
        <v>65</v>
      </c>
      <c r="L22" s="2">
        <f t="shared" si="26"/>
        <v>67.079265571486388</v>
      </c>
      <c r="M22" s="2">
        <f t="shared" si="31"/>
        <v>3.9223022103681533</v>
      </c>
      <c r="N22" s="2">
        <f t="shared" si="32"/>
        <v>75.697013913944971</v>
      </c>
      <c r="P22" s="4">
        <f t="shared" si="9"/>
        <v>0.51905920964059926</v>
      </c>
      <c r="Q22" s="4">
        <f t="shared" si="10"/>
        <v>0.62129166182319029</v>
      </c>
      <c r="R22" s="4">
        <f t="shared" si="11"/>
        <v>9.2620522381998902E-3</v>
      </c>
      <c r="S22" s="4">
        <f t="shared" si="27"/>
        <v>0.81676144591443023</v>
      </c>
      <c r="T22" s="2">
        <f t="shared" si="28"/>
        <v>178.07628946496499</v>
      </c>
      <c r="U22" s="6">
        <f t="shared" si="12"/>
        <v>0.30766453020588297</v>
      </c>
      <c r="V22" s="4">
        <f t="shared" si="13"/>
        <v>0.5927349413931261</v>
      </c>
      <c r="W22" s="4">
        <f t="shared" si="14"/>
        <v>0.93873870674323256</v>
      </c>
      <c r="X22" s="3">
        <f t="shared" si="15"/>
        <v>28.822916428347739</v>
      </c>
      <c r="Y22" s="8">
        <f t="shared" si="33"/>
        <v>27.929488372916435</v>
      </c>
      <c r="Z22" s="3">
        <f t="shared" si="34"/>
        <v>7.1206875133405152</v>
      </c>
      <c r="AA22" s="3">
        <f t="shared" si="18"/>
        <v>1933.4200656418959</v>
      </c>
      <c r="AB22" s="3"/>
      <c r="AC22" s="3"/>
      <c r="AD22" s="3"/>
    </row>
    <row r="23" spans="1:30" hidden="1">
      <c r="A23" s="7">
        <f t="shared" si="36"/>
        <v>490</v>
      </c>
      <c r="B23" s="3">
        <f t="shared" si="36"/>
        <v>-46.571899999999999</v>
      </c>
      <c r="D23" s="1">
        <f t="shared" si="35"/>
        <v>19</v>
      </c>
      <c r="E23" s="2">
        <f t="shared" si="37"/>
        <v>10</v>
      </c>
      <c r="F23" s="2">
        <f t="shared" si="37"/>
        <v>10</v>
      </c>
      <c r="G23" s="2">
        <f t="shared" si="4"/>
        <v>7.0710678118654746</v>
      </c>
      <c r="H23" s="2">
        <f t="shared" si="29"/>
        <v>-30</v>
      </c>
      <c r="I23" s="2">
        <f t="shared" si="24"/>
        <v>55</v>
      </c>
      <c r="J23" s="20">
        <f t="shared" si="25"/>
        <v>16.571899999999999</v>
      </c>
      <c r="K23" s="2">
        <f t="shared" si="30"/>
        <v>55</v>
      </c>
      <c r="L23" s="2">
        <f t="shared" si="26"/>
        <v>57.442387394762761</v>
      </c>
      <c r="M23" s="2">
        <f t="shared" si="31"/>
        <v>3.3188711010807452</v>
      </c>
      <c r="N23" s="2">
        <f t="shared" si="32"/>
        <v>73.232063807913249</v>
      </c>
      <c r="P23" s="4">
        <f t="shared" si="9"/>
        <v>0.52444184171367803</v>
      </c>
      <c r="Q23" s="4">
        <f t="shared" si="10"/>
        <v>0.63378785773771928</v>
      </c>
      <c r="R23" s="4">
        <f t="shared" si="11"/>
        <v>1.1033452585842631E-2</v>
      </c>
      <c r="S23" s="4">
        <f t="shared" si="27"/>
        <v>0.81676144591443023</v>
      </c>
      <c r="T23" s="2">
        <f t="shared" si="28"/>
        <v>178.07628946496499</v>
      </c>
      <c r="U23" s="6">
        <f t="shared" si="12"/>
        <v>0.26346420136159537</v>
      </c>
      <c r="V23" s="4">
        <f t="shared" si="13"/>
        <v>0.50237067374466882</v>
      </c>
      <c r="W23" s="4">
        <f t="shared" si="14"/>
        <v>0.90892035643854374</v>
      </c>
      <c r="X23" s="3">
        <f t="shared" si="15"/>
        <v>27.747124803828079</v>
      </c>
      <c r="Y23" s="8">
        <f t="shared" si="33"/>
        <v>26.567347448892484</v>
      </c>
      <c r="Z23" s="3">
        <f t="shared" si="34"/>
        <v>8.0049350034236646</v>
      </c>
      <c r="AA23" s="3">
        <f t="shared" si="18"/>
        <v>1593.8610920723231</v>
      </c>
      <c r="AB23" s="3"/>
      <c r="AC23" s="3"/>
      <c r="AD23" s="3"/>
    </row>
    <row r="24" spans="1:30" hidden="1">
      <c r="A24" s="7">
        <f t="shared" si="36"/>
        <v>490</v>
      </c>
      <c r="B24" s="3">
        <f t="shared" si="36"/>
        <v>-46.571899999999999</v>
      </c>
      <c r="D24" s="1">
        <f t="shared" si="35"/>
        <v>20</v>
      </c>
      <c r="E24" s="2">
        <f t="shared" si="37"/>
        <v>10</v>
      </c>
      <c r="F24" s="2">
        <f t="shared" si="37"/>
        <v>10</v>
      </c>
      <c r="G24" s="2">
        <f t="shared" si="4"/>
        <v>7.0710678118654746</v>
      </c>
      <c r="H24" s="2">
        <f t="shared" si="29"/>
        <v>-30</v>
      </c>
      <c r="I24" s="2">
        <f t="shared" si="24"/>
        <v>45</v>
      </c>
      <c r="J24" s="20">
        <f t="shared" si="25"/>
        <v>16.571899999999999</v>
      </c>
      <c r="K24" s="2">
        <f t="shared" si="30"/>
        <v>45</v>
      </c>
      <c r="L24" s="2">
        <f t="shared" si="26"/>
        <v>47.954435348672391</v>
      </c>
      <c r="M24" s="2">
        <f t="shared" si="31"/>
        <v>2.7154399917933372</v>
      </c>
      <c r="N24" s="2">
        <f t="shared" si="32"/>
        <v>69.783041576818377</v>
      </c>
      <c r="P24" s="4">
        <f t="shared" si="9"/>
        <v>0.53237700919841946</v>
      </c>
      <c r="Q24" s="4">
        <f t="shared" si="10"/>
        <v>0.65239064285791526</v>
      </c>
      <c r="R24" s="4">
        <f t="shared" si="11"/>
        <v>1.3604385874099893E-2</v>
      </c>
      <c r="S24" s="4">
        <f t="shared" si="27"/>
        <v>0.81676144591443023</v>
      </c>
      <c r="T24" s="2">
        <f t="shared" si="28"/>
        <v>178.07628946496499</v>
      </c>
      <c r="U24" s="6">
        <f t="shared" si="12"/>
        <v>0.21994693437891724</v>
      </c>
      <c r="V24" s="4">
        <f t="shared" si="13"/>
        <v>0.41314130884442829</v>
      </c>
      <c r="W24" s="4">
        <f t="shared" si="14"/>
        <v>0.87112670552852545</v>
      </c>
      <c r="X24" s="3">
        <f t="shared" si="15"/>
        <v>26.34092651045199</v>
      </c>
      <c r="Y24" s="8">
        <f t="shared" si="33"/>
        <v>24.71808257884441</v>
      </c>
      <c r="Z24" s="3">
        <f t="shared" si="34"/>
        <v>9.1027909486300373</v>
      </c>
      <c r="AA24" s="3">
        <f t="shared" si="18"/>
        <v>1263.1642573696006</v>
      </c>
      <c r="AB24" s="3"/>
      <c r="AC24" s="3"/>
      <c r="AD24" s="3"/>
    </row>
    <row r="25" spans="1:30" hidden="1">
      <c r="A25" s="7">
        <f t="shared" si="36"/>
        <v>490</v>
      </c>
      <c r="B25" s="3">
        <f t="shared" si="36"/>
        <v>-46.571899999999999</v>
      </c>
      <c r="D25" s="1">
        <f t="shared" si="35"/>
        <v>21</v>
      </c>
      <c r="E25" s="2">
        <f t="shared" si="37"/>
        <v>10</v>
      </c>
      <c r="F25" s="2">
        <f t="shared" si="37"/>
        <v>10</v>
      </c>
      <c r="G25" s="2">
        <f t="shared" si="4"/>
        <v>7.0710678118654746</v>
      </c>
      <c r="H25" s="2">
        <f t="shared" si="29"/>
        <v>-30</v>
      </c>
      <c r="I25" s="2">
        <f t="shared" si="24"/>
        <v>35</v>
      </c>
      <c r="J25" s="20">
        <f t="shared" si="25"/>
        <v>16.571899999999999</v>
      </c>
      <c r="K25" s="2">
        <f t="shared" si="30"/>
        <v>35</v>
      </c>
      <c r="L25" s="2">
        <f t="shared" si="26"/>
        <v>38.725028981396513</v>
      </c>
      <c r="M25" s="2">
        <f t="shared" si="31"/>
        <v>2.1120088825059287</v>
      </c>
      <c r="N25" s="2">
        <f t="shared" si="32"/>
        <v>64.663247299636595</v>
      </c>
      <c r="P25" s="4">
        <f t="shared" si="9"/>
        <v>0.54513318089237084</v>
      </c>
      <c r="Q25" s="4">
        <f t="shared" si="10"/>
        <v>0.68273742477904031</v>
      </c>
      <c r="R25" s="4">
        <f t="shared" si="11"/>
        <v>1.7630391577163881E-2</v>
      </c>
      <c r="S25" s="4">
        <f t="shared" si="27"/>
        <v>0.81676144591443023</v>
      </c>
      <c r="T25" s="2">
        <f t="shared" si="28"/>
        <v>178.07628946496499</v>
      </c>
      <c r="U25" s="6">
        <f t="shared" si="12"/>
        <v>0.17761550826869846</v>
      </c>
      <c r="V25" s="4">
        <f t="shared" si="13"/>
        <v>0.32582039489496095</v>
      </c>
      <c r="W25" s="4">
        <f t="shared" si="14"/>
        <v>0.82352903672994948</v>
      </c>
      <c r="X25" s="3">
        <f t="shared" si="15"/>
        <v>24.475515642676122</v>
      </c>
      <c r="Y25" s="8">
        <f t="shared" si="33"/>
        <v>22.121172534310954</v>
      </c>
      <c r="Z25" s="3">
        <f t="shared" si="34"/>
        <v>10.473995974895645</v>
      </c>
      <c r="AA25" s="3">
        <f t="shared" si="18"/>
        <v>947.81505259725645</v>
      </c>
      <c r="AB25" s="3"/>
      <c r="AC25" s="3"/>
      <c r="AD25" s="3"/>
    </row>
    <row r="26" spans="1:30" hidden="1">
      <c r="A26" s="7">
        <f t="shared" si="36"/>
        <v>490</v>
      </c>
      <c r="B26" s="3">
        <f t="shared" si="36"/>
        <v>-46.571899999999999</v>
      </c>
      <c r="D26" s="1">
        <f t="shared" si="35"/>
        <v>22</v>
      </c>
      <c r="E26" s="2">
        <f t="shared" si="37"/>
        <v>10</v>
      </c>
      <c r="F26" s="2">
        <f t="shared" si="37"/>
        <v>10</v>
      </c>
      <c r="G26" s="2">
        <f t="shared" si="4"/>
        <v>7.0710678118654746</v>
      </c>
      <c r="H26" s="2">
        <f t="shared" si="29"/>
        <v>-30</v>
      </c>
      <c r="I26" s="2">
        <f t="shared" si="24"/>
        <v>25</v>
      </c>
      <c r="J26" s="20">
        <f t="shared" si="25"/>
        <v>16.571899999999999</v>
      </c>
      <c r="K26" s="2">
        <f t="shared" si="30"/>
        <v>25</v>
      </c>
      <c r="L26" s="2">
        <f t="shared" si="26"/>
        <v>29.993797185584889</v>
      </c>
      <c r="M26" s="2">
        <f t="shared" si="31"/>
        <v>1.5085777732185206</v>
      </c>
      <c r="N26" s="2">
        <f t="shared" si="32"/>
        <v>56.46055740665652</v>
      </c>
      <c r="P26" s="4">
        <f t="shared" si="9"/>
        <v>0.56852575223241797</v>
      </c>
      <c r="Q26" s="4">
        <f t="shared" si="10"/>
        <v>0.73975130152721524</v>
      </c>
      <c r="R26" s="4">
        <f t="shared" si="11"/>
        <v>2.4663476149753456E-2</v>
      </c>
      <c r="S26" s="4">
        <f t="shared" si="27"/>
        <v>0.81676144591443023</v>
      </c>
      <c r="T26" s="2">
        <f t="shared" si="28"/>
        <v>178.07628946496499</v>
      </c>
      <c r="U26" s="6">
        <f t="shared" si="12"/>
        <v>0.13756900051863566</v>
      </c>
      <c r="V26" s="4">
        <f t="shared" si="13"/>
        <v>0.24197496767463283</v>
      </c>
      <c r="W26" s="4">
        <f t="shared" si="14"/>
        <v>0.76365318185555953</v>
      </c>
      <c r="X26" s="3">
        <f t="shared" si="15"/>
        <v>21.915879066819404</v>
      </c>
      <c r="Y26" s="8">
        <f t="shared" si="33"/>
        <v>18.267009451334363</v>
      </c>
      <c r="Z26" s="3">
        <f t="shared" si="34"/>
        <v>12.108762157062715</v>
      </c>
      <c r="AA26" s="3">
        <f t="shared" si="18"/>
        <v>657.34043187398663</v>
      </c>
      <c r="AB26" s="3"/>
      <c r="AC26" s="3"/>
      <c r="AD26" s="3"/>
    </row>
    <row r="27" spans="1:30" hidden="1">
      <c r="A27" s="7">
        <f t="shared" si="36"/>
        <v>490</v>
      </c>
      <c r="B27" s="3">
        <f t="shared" si="36"/>
        <v>-46.571899999999999</v>
      </c>
      <c r="D27" s="1">
        <f t="shared" si="35"/>
        <v>23</v>
      </c>
      <c r="E27" s="2">
        <f t="shared" si="37"/>
        <v>10</v>
      </c>
      <c r="F27" s="2">
        <f t="shared" si="37"/>
        <v>10</v>
      </c>
      <c r="G27" s="2">
        <f t="shared" si="4"/>
        <v>7.0710678118654746</v>
      </c>
      <c r="H27" s="2">
        <f t="shared" si="29"/>
        <v>-30</v>
      </c>
      <c r="I27" s="2">
        <f t="shared" si="24"/>
        <v>15</v>
      </c>
      <c r="J27" s="20">
        <f t="shared" si="25"/>
        <v>16.571899999999999</v>
      </c>
      <c r="K27" s="2">
        <f t="shared" si="30"/>
        <v>15</v>
      </c>
      <c r="L27" s="2">
        <f t="shared" si="26"/>
        <v>22.352357137671184</v>
      </c>
      <c r="M27" s="2">
        <f t="shared" si="31"/>
        <v>0.90514666393111232</v>
      </c>
      <c r="N27" s="2">
        <f t="shared" si="32"/>
        <v>42.149714497074847</v>
      </c>
      <c r="P27" s="4">
        <f t="shared" si="9"/>
        <v>0.62196988653724727</v>
      </c>
      <c r="Q27" s="4">
        <f t="shared" si="10"/>
        <v>0.87607972266968659</v>
      </c>
      <c r="R27" s="4">
        <f t="shared" si="11"/>
        <v>3.9194064289228794E-2</v>
      </c>
      <c r="S27" s="4">
        <f t="shared" si="27"/>
        <v>0.81676144591443023</v>
      </c>
      <c r="T27" s="2">
        <f t="shared" si="28"/>
        <v>178.07628946496499</v>
      </c>
      <c r="U27" s="6">
        <f t="shared" si="12"/>
        <v>0.10252091162845053</v>
      </c>
      <c r="V27" s="4">
        <f t="shared" si="13"/>
        <v>0.16483259695935612</v>
      </c>
      <c r="W27" s="4">
        <f t="shared" si="14"/>
        <v>0.68888571577453672</v>
      </c>
      <c r="X27" s="3">
        <f t="shared" si="15"/>
        <v>18.257623228362561</v>
      </c>
      <c r="Y27" s="8">
        <f t="shared" si="33"/>
        <v>12.252146238478156</v>
      </c>
      <c r="Z27" s="3">
        <f t="shared" si="34"/>
        <v>13.536089483295747</v>
      </c>
      <c r="AA27" s="3">
        <f t="shared" si="18"/>
        <v>408.1009148854011</v>
      </c>
      <c r="AB27" s="3"/>
      <c r="AC27" s="3"/>
      <c r="AD27" s="3"/>
    </row>
    <row r="28" spans="1:30" hidden="1">
      <c r="A28" s="7">
        <f t="shared" si="36"/>
        <v>490</v>
      </c>
      <c r="B28" s="3">
        <f t="shared" si="36"/>
        <v>-46.571899999999999</v>
      </c>
      <c r="D28" s="1">
        <f t="shared" si="35"/>
        <v>24</v>
      </c>
      <c r="E28" s="2">
        <f t="shared" si="37"/>
        <v>10</v>
      </c>
      <c r="F28" s="2">
        <f t="shared" si="37"/>
        <v>10</v>
      </c>
      <c r="G28" s="2">
        <f t="shared" si="4"/>
        <v>7.0710678118654746</v>
      </c>
      <c r="H28" s="2">
        <f t="shared" si="29"/>
        <v>-30</v>
      </c>
      <c r="I28" s="2">
        <f t="shared" si="24"/>
        <v>5</v>
      </c>
      <c r="J28" s="20">
        <f t="shared" si="25"/>
        <v>16.571899999999999</v>
      </c>
      <c r="K28" s="2">
        <f t="shared" si="30"/>
        <v>5</v>
      </c>
      <c r="L28" s="2">
        <f t="shared" si="26"/>
        <v>17.309762263243247</v>
      </c>
      <c r="M28" s="2">
        <f t="shared" si="31"/>
        <v>0.30171555464370409</v>
      </c>
      <c r="N28" s="2">
        <f t="shared" si="32"/>
        <v>16.789379619193344</v>
      </c>
      <c r="P28" s="4">
        <f t="shared" si="9"/>
        <v>0.81751231765868848</v>
      </c>
      <c r="Q28" s="4">
        <f t="shared" si="10"/>
        <v>1.4246343685332414</v>
      </c>
      <c r="R28" s="4">
        <f t="shared" si="11"/>
        <v>8.2302364808233622E-2</v>
      </c>
      <c r="S28" s="4">
        <f t="shared" si="27"/>
        <v>0.81676144591443023</v>
      </c>
      <c r="T28" s="2">
        <f t="shared" si="28"/>
        <v>178.07628946496499</v>
      </c>
      <c r="U28" s="6">
        <f t="shared" si="12"/>
        <v>7.9392638385713435E-2</v>
      </c>
      <c r="V28" s="4">
        <f t="shared" si="13"/>
        <v>9.7114913953944698E-2</v>
      </c>
      <c r="W28" s="4">
        <f t="shared" si="14"/>
        <v>0.5938491314210762</v>
      </c>
      <c r="X28" s="3">
        <f t="shared" si="15"/>
        <v>13.303783272892868</v>
      </c>
      <c r="Y28" s="8">
        <f t="shared" si="33"/>
        <v>3.8428555720672866</v>
      </c>
      <c r="Z28" s="3">
        <f t="shared" si="34"/>
        <v>12.73668365094837</v>
      </c>
      <c r="AA28" s="3">
        <f t="shared" si="18"/>
        <v>230.2853256554877</v>
      </c>
      <c r="AB28" s="3"/>
      <c r="AC28" s="3"/>
      <c r="AD28" s="3"/>
    </row>
    <row r="29" spans="1:30" hidden="1">
      <c r="A29" s="7"/>
      <c r="B29" s="3"/>
      <c r="D29" s="1"/>
      <c r="E29" s="2"/>
      <c r="F29" s="2"/>
      <c r="G29" s="2"/>
      <c r="H29" s="2"/>
      <c r="I29" s="2"/>
      <c r="J29" s="20"/>
      <c r="K29" s="2"/>
      <c r="L29" s="2"/>
      <c r="M29" s="2"/>
      <c r="N29" s="2"/>
      <c r="P29" s="4"/>
      <c r="Q29" s="4"/>
      <c r="R29" s="4"/>
      <c r="S29" s="4"/>
      <c r="T29" s="2"/>
      <c r="U29" s="6"/>
      <c r="V29" s="4"/>
      <c r="W29" s="4"/>
      <c r="X29" s="3"/>
      <c r="Y29" s="8"/>
      <c r="Z29" s="3"/>
      <c r="AA29" s="3"/>
      <c r="AB29" s="3"/>
      <c r="AC29" s="3"/>
      <c r="AD29" s="3"/>
    </row>
    <row r="30" spans="1:30" hidden="1">
      <c r="A30" s="7"/>
      <c r="B30" s="3"/>
      <c r="D30" s="1"/>
      <c r="E30" s="2"/>
      <c r="F30" s="2"/>
      <c r="G30" s="2"/>
      <c r="H30" s="2"/>
      <c r="I30" s="2"/>
      <c r="J30" s="20"/>
      <c r="K30" s="2"/>
      <c r="L30" s="2"/>
      <c r="M30" s="2"/>
      <c r="N30" s="2"/>
      <c r="P30" s="4"/>
      <c r="Q30" s="4"/>
      <c r="R30" s="4"/>
      <c r="S30" s="4"/>
      <c r="T30" s="2"/>
      <c r="U30" s="6"/>
      <c r="V30" s="4"/>
      <c r="W30" s="4"/>
      <c r="X30" s="3"/>
      <c r="Y30" s="8"/>
      <c r="Z30" s="3"/>
      <c r="AA30" s="3"/>
      <c r="AB30" s="3"/>
      <c r="AC30" s="3"/>
      <c r="AD30" s="3"/>
    </row>
    <row r="31" spans="1:30" hidden="1">
      <c r="A31" s="7"/>
      <c r="B31" s="3"/>
      <c r="D31" s="1"/>
      <c r="E31" s="2"/>
      <c r="F31" s="2"/>
      <c r="G31" s="2"/>
      <c r="H31" s="2"/>
      <c r="I31" s="2"/>
      <c r="J31" s="20"/>
      <c r="K31" s="2"/>
      <c r="L31" s="2"/>
      <c r="M31" s="2"/>
      <c r="N31" s="2"/>
      <c r="P31" s="4"/>
      <c r="Q31" s="4"/>
      <c r="R31" s="4"/>
      <c r="S31" s="4"/>
      <c r="T31" s="2"/>
      <c r="U31" s="6"/>
      <c r="V31" s="4"/>
      <c r="W31" s="4"/>
      <c r="X31" s="3"/>
      <c r="Y31" s="8"/>
      <c r="Z31" s="3"/>
      <c r="AA31" s="3"/>
      <c r="AB31" s="3"/>
      <c r="AC31" s="3"/>
      <c r="AD31" s="3"/>
    </row>
    <row r="32" spans="1:30" hidden="1">
      <c r="A32" s="7"/>
      <c r="B32" s="3"/>
      <c r="D32" s="1"/>
      <c r="E32" s="2"/>
      <c r="F32" s="2"/>
      <c r="G32" s="2"/>
      <c r="H32" s="2"/>
      <c r="I32" s="2"/>
      <c r="J32" s="20"/>
      <c r="K32" s="2"/>
      <c r="L32" s="2"/>
      <c r="M32" s="2"/>
      <c r="N32" s="2"/>
      <c r="P32" s="4"/>
      <c r="Q32" s="4"/>
      <c r="R32" s="4"/>
      <c r="S32" s="4"/>
      <c r="T32" s="2"/>
      <c r="U32" s="6"/>
      <c r="V32" s="4"/>
      <c r="W32" s="4"/>
      <c r="X32" s="3"/>
      <c r="Y32" s="8"/>
      <c r="Z32" s="3"/>
      <c r="AA32" s="3"/>
      <c r="AB32" s="3"/>
      <c r="AC32" s="3"/>
      <c r="AD32" s="3"/>
    </row>
    <row r="33" spans="1:30" hidden="1">
      <c r="A33" s="7"/>
      <c r="B33" s="3"/>
      <c r="D33" s="1"/>
      <c r="E33" s="2"/>
      <c r="F33" s="2"/>
      <c r="G33" s="2"/>
      <c r="H33" s="2"/>
      <c r="I33" s="2"/>
      <c r="J33" s="20"/>
      <c r="K33" s="2"/>
      <c r="L33" s="2"/>
      <c r="M33" s="2"/>
      <c r="N33" s="2"/>
      <c r="P33" s="4"/>
      <c r="Q33" s="4"/>
      <c r="R33" s="4"/>
      <c r="S33" s="4"/>
      <c r="T33" s="2"/>
      <c r="U33" s="6"/>
      <c r="V33" s="4"/>
      <c r="W33" s="4"/>
      <c r="X33" s="3"/>
      <c r="Y33" s="8"/>
      <c r="Z33" s="3"/>
      <c r="AA33" s="3"/>
      <c r="AB33" s="3"/>
      <c r="AC33" s="3"/>
      <c r="AD33" s="3"/>
    </row>
    <row r="34" spans="1:30" hidden="1">
      <c r="A34" s="7"/>
      <c r="B34" s="3"/>
      <c r="D34" s="1"/>
      <c r="E34" s="2"/>
      <c r="F34" s="2"/>
      <c r="G34" s="2"/>
      <c r="H34" s="2"/>
      <c r="I34" s="2"/>
      <c r="J34" s="20"/>
      <c r="K34" s="2"/>
      <c r="L34" s="2"/>
      <c r="M34" s="2"/>
      <c r="N34" s="2"/>
      <c r="P34" s="4"/>
      <c r="Q34" s="4"/>
      <c r="R34" s="4"/>
      <c r="S34" s="4"/>
      <c r="T34" s="2"/>
      <c r="U34" s="6"/>
      <c r="V34" s="4"/>
      <c r="W34" s="4"/>
      <c r="X34" s="3"/>
      <c r="Y34" s="8"/>
      <c r="Z34" s="3"/>
      <c r="AA34" s="3"/>
      <c r="AB34" s="3"/>
      <c r="AC34" s="3"/>
      <c r="AD34" s="3"/>
    </row>
    <row r="35" spans="1:30" hidden="1">
      <c r="A35" s="7"/>
      <c r="B35" s="3"/>
      <c r="D35" s="1"/>
      <c r="E35" s="2"/>
      <c r="F35" s="2"/>
      <c r="G35" s="2"/>
      <c r="H35" s="2"/>
      <c r="I35" s="2"/>
      <c r="J35" s="20"/>
      <c r="K35" s="2"/>
      <c r="L35" s="2"/>
      <c r="M35" s="2"/>
      <c r="N35" s="2"/>
      <c r="P35" s="4"/>
      <c r="Q35" s="4"/>
      <c r="R35" s="4"/>
      <c r="S35" s="4"/>
      <c r="T35" s="2"/>
      <c r="U35" s="6"/>
      <c r="V35" s="4"/>
      <c r="W35" s="4"/>
      <c r="X35" s="3"/>
      <c r="Y35" s="8"/>
      <c r="Z35" s="3"/>
      <c r="AA35" s="3"/>
      <c r="AB35" s="3"/>
      <c r="AC35" s="3"/>
      <c r="AD35" s="3"/>
    </row>
    <row r="36" spans="1:30" hidden="1">
      <c r="A36" s="7"/>
      <c r="B36" s="3"/>
      <c r="D36" s="1"/>
      <c r="E36" s="2"/>
      <c r="F36" s="2"/>
      <c r="G36" s="2"/>
      <c r="H36" s="2"/>
      <c r="I36" s="2"/>
      <c r="J36" s="20"/>
      <c r="K36" s="2"/>
      <c r="L36" s="2"/>
      <c r="M36" s="2"/>
      <c r="N36" s="2"/>
      <c r="P36" s="4"/>
      <c r="Q36" s="4"/>
      <c r="R36" s="4"/>
      <c r="S36" s="4"/>
      <c r="T36" s="2"/>
      <c r="U36" s="6"/>
      <c r="V36" s="4"/>
      <c r="W36" s="4"/>
      <c r="X36" s="3"/>
      <c r="Y36" s="8"/>
      <c r="Z36" s="3"/>
      <c r="AA36" s="3"/>
      <c r="AB36" s="3"/>
      <c r="AC36" s="3"/>
      <c r="AD36" s="3"/>
    </row>
    <row r="37" spans="1:30" hidden="1">
      <c r="A37" s="7"/>
      <c r="B37" s="3"/>
      <c r="D37" s="1"/>
      <c r="E37" s="2"/>
      <c r="F37" s="2"/>
      <c r="G37" s="2"/>
      <c r="H37" s="2"/>
      <c r="I37" s="2"/>
      <c r="J37" s="20"/>
      <c r="K37" s="2"/>
      <c r="L37" s="2"/>
      <c r="M37" s="2"/>
      <c r="N37" s="2"/>
      <c r="P37" s="4"/>
      <c r="Q37" s="4"/>
      <c r="R37" s="4"/>
      <c r="S37" s="4"/>
      <c r="T37" s="2"/>
      <c r="U37" s="6"/>
      <c r="V37" s="4"/>
      <c r="W37" s="4"/>
      <c r="X37" s="3"/>
      <c r="Y37" s="8"/>
      <c r="Z37" s="3"/>
      <c r="AA37" s="3"/>
      <c r="AB37" s="3"/>
      <c r="AC37" s="3"/>
      <c r="AD37" s="3"/>
    </row>
    <row r="38" spans="1:30" hidden="1">
      <c r="A38" s="7"/>
      <c r="B38" s="3"/>
      <c r="D38" s="1"/>
      <c r="E38" s="2"/>
      <c r="F38" s="2"/>
      <c r="G38" s="2"/>
      <c r="H38" s="2"/>
      <c r="I38" s="2"/>
      <c r="J38" s="20"/>
      <c r="K38" s="2"/>
      <c r="L38" s="2"/>
      <c r="M38" s="2"/>
      <c r="N38" s="2"/>
      <c r="P38" s="4"/>
      <c r="Q38" s="4"/>
      <c r="R38" s="4"/>
      <c r="S38" s="4"/>
      <c r="T38" s="2"/>
      <c r="U38" s="6"/>
      <c r="V38" s="4"/>
      <c r="W38" s="4"/>
      <c r="X38" s="3"/>
      <c r="Y38" s="8"/>
      <c r="Z38" s="3"/>
      <c r="AA38" s="3"/>
      <c r="AB38" s="3"/>
      <c r="AC38" s="3"/>
      <c r="AD38" s="3"/>
    </row>
    <row r="39" spans="1:30" hidden="1">
      <c r="A39" s="7"/>
      <c r="B39" s="3"/>
      <c r="D39" s="1"/>
      <c r="E39" s="2"/>
      <c r="F39" s="2"/>
      <c r="G39" s="2"/>
      <c r="H39" s="2"/>
      <c r="I39" s="2"/>
      <c r="J39" s="20"/>
      <c r="K39" s="2"/>
      <c r="L39" s="2"/>
      <c r="M39" s="2"/>
      <c r="N39" s="2"/>
      <c r="P39" s="4"/>
      <c r="Q39" s="4"/>
      <c r="R39" s="4"/>
      <c r="S39" s="4"/>
      <c r="T39" s="2"/>
      <c r="U39" s="6"/>
      <c r="V39" s="4"/>
      <c r="W39" s="4"/>
      <c r="X39" s="3"/>
      <c r="Y39" s="8"/>
      <c r="Z39" s="3"/>
      <c r="AA39" s="3"/>
      <c r="AB39" s="3"/>
      <c r="AC39" s="3"/>
      <c r="AD39" s="3"/>
    </row>
    <row r="40" spans="1:30" hidden="1">
      <c r="A40" s="7"/>
      <c r="B40" s="3"/>
      <c r="D40" s="1"/>
      <c r="E40" s="2"/>
      <c r="F40" s="2"/>
      <c r="G40" s="2"/>
      <c r="H40" s="2"/>
      <c r="I40" s="2"/>
      <c r="J40" s="20"/>
      <c r="K40" s="2"/>
      <c r="L40" s="2"/>
      <c r="M40" s="2"/>
      <c r="N40" s="2"/>
      <c r="P40" s="4"/>
      <c r="Q40" s="4"/>
      <c r="R40" s="4"/>
      <c r="S40" s="4"/>
      <c r="T40" s="2"/>
      <c r="U40" s="6"/>
      <c r="V40" s="4"/>
      <c r="W40" s="4"/>
      <c r="X40" s="3"/>
      <c r="Y40" s="8"/>
      <c r="Z40" s="3"/>
      <c r="AA40" s="3"/>
      <c r="AB40" s="3"/>
      <c r="AC40" s="3"/>
      <c r="AD40" s="3"/>
    </row>
    <row r="41" spans="1:30" hidden="1">
      <c r="A41" s="7"/>
      <c r="B41" s="3"/>
      <c r="D41" s="1"/>
      <c r="E41" s="2"/>
      <c r="F41" s="2"/>
      <c r="G41" s="2"/>
      <c r="H41" s="2"/>
      <c r="I41" s="2"/>
      <c r="J41" s="20"/>
      <c r="K41" s="2"/>
      <c r="L41" s="2"/>
      <c r="M41" s="2"/>
      <c r="N41" s="2"/>
      <c r="P41" s="4"/>
      <c r="Q41" s="4"/>
      <c r="R41" s="4"/>
      <c r="S41" s="4"/>
      <c r="T41" s="2"/>
      <c r="U41" s="6"/>
      <c r="V41" s="4"/>
      <c r="W41" s="4"/>
      <c r="X41" s="3"/>
      <c r="Y41" s="8"/>
      <c r="Z41" s="3"/>
      <c r="AA41" s="3"/>
      <c r="AB41" s="3"/>
      <c r="AC41" s="3"/>
      <c r="AD41" s="3"/>
    </row>
    <row r="42" spans="1:30" hidden="1">
      <c r="A42" s="7"/>
      <c r="B42" s="3"/>
      <c r="D42" s="1"/>
      <c r="E42" s="2"/>
      <c r="F42" s="2"/>
      <c r="G42" s="2"/>
      <c r="H42" s="2"/>
      <c r="I42" s="2"/>
      <c r="J42" s="20"/>
      <c r="K42" s="2"/>
      <c r="L42" s="2"/>
      <c r="M42" s="2"/>
      <c r="N42" s="2"/>
      <c r="P42" s="4"/>
      <c r="Q42" s="4"/>
      <c r="R42" s="4"/>
      <c r="S42" s="4"/>
      <c r="T42" s="2"/>
      <c r="U42" s="6"/>
      <c r="V42" s="4"/>
      <c r="W42" s="4"/>
      <c r="X42" s="3"/>
      <c r="Y42" s="8"/>
      <c r="Z42" s="3"/>
      <c r="AA42" s="3"/>
      <c r="AB42" s="3"/>
      <c r="AC42" s="3"/>
      <c r="AD42" s="3"/>
    </row>
    <row r="43" spans="1:30" hidden="1">
      <c r="A43" s="7"/>
      <c r="B43" s="3"/>
      <c r="D43" s="1"/>
      <c r="E43" s="2"/>
      <c r="F43" s="2"/>
      <c r="G43" s="2"/>
      <c r="H43" s="2"/>
      <c r="I43" s="2"/>
      <c r="J43" s="20"/>
      <c r="K43" s="2"/>
      <c r="L43" s="2"/>
      <c r="M43" s="2"/>
      <c r="N43" s="2"/>
      <c r="P43" s="4"/>
      <c r="Q43" s="4"/>
      <c r="R43" s="4"/>
      <c r="S43" s="4"/>
      <c r="T43" s="2"/>
      <c r="U43" s="6"/>
      <c r="V43" s="4"/>
      <c r="W43" s="4"/>
      <c r="X43" s="3"/>
      <c r="Y43" s="8"/>
      <c r="Z43" s="3"/>
      <c r="AA43" s="3"/>
      <c r="AB43" s="3"/>
      <c r="AC43" s="3"/>
      <c r="AD43" s="3"/>
    </row>
    <row r="44" spans="1:30" hidden="1">
      <c r="A44" s="7"/>
      <c r="B44" s="3"/>
      <c r="D44" s="1"/>
      <c r="E44" s="2"/>
      <c r="F44" s="2"/>
      <c r="G44" s="2"/>
      <c r="H44" s="2"/>
      <c r="I44" s="2"/>
      <c r="J44" s="20"/>
      <c r="K44" s="2"/>
      <c r="L44" s="2"/>
      <c r="M44" s="2"/>
      <c r="N44" s="2"/>
      <c r="P44" s="4"/>
      <c r="Q44" s="4"/>
      <c r="R44" s="4"/>
      <c r="S44" s="4"/>
      <c r="T44" s="2"/>
      <c r="U44" s="6"/>
      <c r="V44" s="4"/>
      <c r="W44" s="4"/>
      <c r="X44" s="3"/>
      <c r="Y44" s="8"/>
      <c r="Z44" s="3"/>
      <c r="AA44" s="3"/>
      <c r="AB44" s="3"/>
      <c r="AC44" s="3"/>
      <c r="AD44" s="3"/>
    </row>
    <row r="45" spans="1:30" hidden="1">
      <c r="A45" s="7"/>
      <c r="B45" s="3"/>
      <c r="D45" s="1"/>
      <c r="E45" s="2"/>
      <c r="F45" s="2"/>
      <c r="G45" s="2"/>
      <c r="H45" s="2"/>
      <c r="I45" s="2"/>
      <c r="J45" s="20"/>
      <c r="K45" s="2"/>
      <c r="L45" s="2"/>
      <c r="M45" s="2"/>
      <c r="N45" s="2"/>
      <c r="P45" s="4"/>
      <c r="Q45" s="4"/>
      <c r="R45" s="4"/>
      <c r="S45" s="4"/>
      <c r="T45" s="2"/>
      <c r="U45" s="6"/>
      <c r="V45" s="4"/>
      <c r="W45" s="4"/>
      <c r="X45" s="3"/>
      <c r="Y45" s="8"/>
      <c r="Z45" s="3"/>
      <c r="AA45" s="3"/>
      <c r="AB45" s="3"/>
      <c r="AC45" s="3"/>
      <c r="AD45" s="3"/>
    </row>
    <row r="46" spans="1:30" hidden="1">
      <c r="A46" s="7"/>
      <c r="B46" s="3"/>
      <c r="D46" s="1"/>
      <c r="E46" s="2"/>
      <c r="F46" s="2"/>
      <c r="G46" s="2"/>
      <c r="H46" s="2"/>
      <c r="I46" s="2"/>
      <c r="J46" s="20"/>
      <c r="K46" s="2"/>
      <c r="L46" s="2"/>
      <c r="M46" s="2"/>
      <c r="N46" s="2"/>
      <c r="P46" s="4"/>
      <c r="Q46" s="4"/>
      <c r="R46" s="4"/>
      <c r="S46" s="4"/>
      <c r="T46" s="2"/>
      <c r="U46" s="6"/>
      <c r="V46" s="4"/>
      <c r="W46" s="4"/>
      <c r="X46" s="3"/>
      <c r="Y46" s="8"/>
      <c r="Z46" s="3"/>
      <c r="AA46" s="3"/>
      <c r="AB46" s="3"/>
      <c r="AC46" s="3"/>
      <c r="AD46" s="3"/>
    </row>
    <row r="47" spans="1:30" hidden="1">
      <c r="A47" s="7"/>
      <c r="B47" s="3"/>
      <c r="D47" s="1"/>
      <c r="E47" s="2"/>
      <c r="F47" s="2"/>
      <c r="G47" s="2"/>
      <c r="H47" s="2"/>
      <c r="I47" s="2"/>
      <c r="J47" s="20"/>
      <c r="K47" s="2"/>
      <c r="L47" s="2"/>
      <c r="M47" s="2"/>
      <c r="N47" s="2"/>
      <c r="P47" s="4"/>
      <c r="Q47" s="4"/>
      <c r="R47" s="4"/>
      <c r="S47" s="4"/>
      <c r="T47" s="2"/>
      <c r="U47" s="6"/>
      <c r="V47" s="4"/>
      <c r="W47" s="4"/>
      <c r="X47" s="3"/>
      <c r="Y47" s="8"/>
      <c r="Z47" s="3"/>
      <c r="AA47" s="3"/>
      <c r="AB47" s="3"/>
      <c r="AC47" s="3"/>
      <c r="AD47" s="3"/>
    </row>
    <row r="48" spans="1:30" hidden="1">
      <c r="A48" s="7"/>
      <c r="B48" s="3"/>
      <c r="D48" s="1"/>
      <c r="E48" s="2"/>
      <c r="F48" s="2"/>
      <c r="G48" s="2"/>
      <c r="H48" s="2"/>
      <c r="I48" s="2"/>
      <c r="J48" s="20"/>
      <c r="K48" s="2"/>
      <c r="L48" s="2"/>
      <c r="M48" s="2"/>
      <c r="N48" s="2"/>
      <c r="P48" s="4"/>
      <c r="Q48" s="4"/>
      <c r="R48" s="4"/>
      <c r="S48" s="4"/>
      <c r="T48" s="2"/>
      <c r="U48" s="6"/>
      <c r="V48" s="4"/>
      <c r="W48" s="4"/>
      <c r="X48" s="3"/>
      <c r="Y48" s="8"/>
      <c r="Z48" s="3"/>
      <c r="AA48" s="3"/>
      <c r="AB48" s="3"/>
      <c r="AC48" s="3"/>
      <c r="AD48" s="3"/>
    </row>
    <row r="49" spans="1:31" hidden="1">
      <c r="A49" s="7"/>
      <c r="B49" s="3"/>
      <c r="D49" s="1"/>
      <c r="E49" s="2"/>
      <c r="F49" s="2"/>
      <c r="G49" s="2"/>
      <c r="H49" s="2"/>
      <c r="I49" s="2"/>
      <c r="J49" s="20"/>
      <c r="K49" s="2"/>
      <c r="L49" s="2"/>
      <c r="M49" s="2"/>
      <c r="N49" s="2"/>
      <c r="P49" s="4"/>
      <c r="Q49" s="4"/>
      <c r="R49" s="4"/>
      <c r="S49" s="4"/>
      <c r="T49" s="2"/>
      <c r="U49" s="6"/>
      <c r="V49" s="4"/>
      <c r="W49" s="4"/>
      <c r="X49" s="3"/>
      <c r="Y49" s="8"/>
      <c r="Z49" s="3"/>
      <c r="AA49" s="3"/>
      <c r="AB49" s="3"/>
      <c r="AC49" s="3"/>
      <c r="AD49" s="3"/>
    </row>
    <row r="50" spans="1:31">
      <c r="A50" s="7"/>
      <c r="B50" s="3"/>
      <c r="D50" s="1"/>
      <c r="E50" s="2"/>
      <c r="F50" s="2"/>
      <c r="G50" s="2"/>
      <c r="H50" s="2"/>
      <c r="I50" s="2"/>
      <c r="J50" s="20"/>
      <c r="K50" s="2"/>
      <c r="L50" s="2"/>
      <c r="M50" s="2"/>
      <c r="N50" s="2"/>
      <c r="P50" s="4"/>
      <c r="Q50" s="4"/>
      <c r="R50" s="4"/>
      <c r="S50" s="4"/>
      <c r="T50" s="2"/>
      <c r="U50" s="6"/>
      <c r="V50" s="4"/>
      <c r="W50" s="4"/>
      <c r="X50" s="3"/>
      <c r="Y50" s="8"/>
      <c r="Z50" s="3"/>
      <c r="AA50" s="3"/>
      <c r="AB50" s="3"/>
      <c r="AC50" s="3"/>
      <c r="AD50" s="3"/>
    </row>
    <row r="51" spans="1:31">
      <c r="A51" s="7"/>
      <c r="B51" s="3"/>
      <c r="D51" s="1"/>
      <c r="E51" s="2"/>
      <c r="F51" s="2"/>
      <c r="G51" s="2"/>
      <c r="H51" s="2"/>
      <c r="I51" s="2"/>
      <c r="J51" s="20"/>
      <c r="K51" s="2"/>
      <c r="L51" s="2"/>
      <c r="M51" s="2"/>
      <c r="N51" s="2"/>
      <c r="P51" s="4"/>
      <c r="Q51" s="4"/>
      <c r="R51" s="4"/>
      <c r="S51" s="4"/>
      <c r="T51" s="2"/>
      <c r="U51" s="6"/>
      <c r="V51" s="4"/>
      <c r="W51" s="4"/>
      <c r="X51" s="3"/>
      <c r="Y51" s="8"/>
      <c r="Z51" s="3"/>
      <c r="AA51" s="3"/>
      <c r="AB51" s="3"/>
      <c r="AC51" s="3"/>
      <c r="AD51" s="3"/>
    </row>
    <row r="52" spans="1:31">
      <c r="A52" s="7"/>
      <c r="B52" s="3"/>
      <c r="D52" s="1"/>
      <c r="E52" s="2"/>
      <c r="F52" s="2"/>
      <c r="G52" s="2"/>
      <c r="H52" s="2"/>
      <c r="I52" s="2"/>
      <c r="J52" s="20"/>
      <c r="K52" s="2"/>
      <c r="L52" s="2"/>
      <c r="M52" s="2"/>
      <c r="N52" s="2"/>
      <c r="P52" s="4"/>
      <c r="Q52" s="4"/>
      <c r="R52" s="4"/>
      <c r="S52" s="4"/>
      <c r="T52" s="2"/>
      <c r="U52" s="6"/>
      <c r="V52" s="4"/>
      <c r="W52" s="4"/>
      <c r="X52" s="3"/>
      <c r="Y52" s="8"/>
      <c r="Z52" s="3"/>
      <c r="AA52" s="3"/>
      <c r="AB52" s="3"/>
      <c r="AC52" s="3"/>
      <c r="AD52" s="3"/>
    </row>
    <row r="53" spans="1:31">
      <c r="A53" s="7"/>
      <c r="B53" s="3"/>
      <c r="D53" s="1"/>
      <c r="E53" s="2"/>
      <c r="F53" s="2"/>
      <c r="G53" s="2"/>
      <c r="H53" s="2"/>
      <c r="I53" s="2"/>
      <c r="J53" s="20"/>
      <c r="K53" s="2"/>
      <c r="L53" s="2"/>
      <c r="M53" s="2"/>
      <c r="N53" s="2"/>
      <c r="P53" s="4"/>
      <c r="Q53" s="4"/>
      <c r="R53" s="4"/>
      <c r="S53" s="4"/>
      <c r="T53" s="2"/>
      <c r="U53" s="6"/>
      <c r="V53" s="4"/>
      <c r="W53" s="4"/>
      <c r="X53" s="3"/>
      <c r="Y53" s="8"/>
      <c r="Z53" s="3"/>
      <c r="AA53" s="3"/>
      <c r="AB53" s="3"/>
      <c r="AC53" s="3"/>
      <c r="AD53" s="3"/>
    </row>
    <row r="54" spans="1:31">
      <c r="A54" s="7"/>
      <c r="B54" s="3"/>
      <c r="D54" s="1"/>
      <c r="E54" s="2"/>
      <c r="F54" s="2"/>
      <c r="G54" s="2"/>
      <c r="H54" s="2"/>
      <c r="I54" s="2"/>
      <c r="J54" s="20"/>
      <c r="K54" s="2"/>
      <c r="L54" s="2"/>
      <c r="M54" s="2"/>
      <c r="N54" s="2"/>
      <c r="P54" s="4"/>
      <c r="Q54" s="4"/>
      <c r="R54" s="4"/>
      <c r="S54" s="4"/>
      <c r="T54" s="2"/>
      <c r="U54" s="6"/>
      <c r="V54" s="4"/>
      <c r="W54" s="4"/>
      <c r="X54" s="3"/>
      <c r="Y54" s="8"/>
      <c r="Z54" s="3"/>
      <c r="AA54" s="3"/>
      <c r="AB54" s="3"/>
      <c r="AC54" s="3"/>
      <c r="AD54" s="3"/>
    </row>
    <row r="55" spans="1:31">
      <c r="A55" s="7"/>
      <c r="B55" s="3"/>
      <c r="D55" s="1"/>
      <c r="E55" s="2"/>
      <c r="F55" s="2"/>
      <c r="G55" s="2"/>
      <c r="H55" s="2"/>
      <c r="I55" s="2"/>
      <c r="J55" s="20"/>
      <c r="K55" s="2"/>
      <c r="L55" s="2"/>
      <c r="M55" s="2"/>
      <c r="N55" s="2"/>
      <c r="P55" s="4"/>
      <c r="Q55" s="4"/>
      <c r="R55" s="4"/>
      <c r="S55" s="4"/>
      <c r="T55" s="2"/>
      <c r="U55" s="6"/>
      <c r="V55" s="4"/>
      <c r="W55" s="4"/>
      <c r="X55" s="3"/>
      <c r="Y55" s="8"/>
      <c r="Z55" s="3"/>
      <c r="AA55" s="3"/>
      <c r="AB55" s="3"/>
      <c r="AC55" s="3"/>
      <c r="AD55" s="3"/>
    </row>
    <row r="56" spans="1:31">
      <c r="A56" s="7"/>
      <c r="B56" s="3"/>
      <c r="D56" s="1"/>
      <c r="E56" s="2"/>
      <c r="F56" s="2"/>
      <c r="G56" s="2"/>
      <c r="H56" s="2"/>
      <c r="I56" s="2"/>
      <c r="J56" s="20"/>
      <c r="K56" s="2"/>
      <c r="L56" s="2"/>
      <c r="M56" s="2"/>
      <c r="N56" s="2"/>
      <c r="P56" s="4"/>
      <c r="Q56" s="4"/>
      <c r="R56" s="4"/>
      <c r="S56" s="4"/>
      <c r="T56" s="2"/>
      <c r="U56" s="6"/>
      <c r="V56" s="4"/>
      <c r="W56" s="4"/>
      <c r="X56" s="3"/>
      <c r="Y56" s="8"/>
      <c r="Z56" s="3"/>
      <c r="AA56" s="3"/>
      <c r="AB56" s="3"/>
      <c r="AC56" s="3"/>
      <c r="AD56" s="3"/>
    </row>
    <row r="57" spans="1:31">
      <c r="A57" s="7"/>
      <c r="B57" s="3"/>
      <c r="D57" s="1"/>
      <c r="E57" s="2"/>
      <c r="F57" s="2"/>
      <c r="G57" s="2"/>
      <c r="H57" s="2"/>
      <c r="I57" s="2"/>
      <c r="J57" s="20"/>
      <c r="K57" s="2"/>
      <c r="L57" s="2"/>
      <c r="M57" s="2"/>
      <c r="N57" s="2"/>
      <c r="P57" s="4"/>
      <c r="Q57" s="4"/>
      <c r="R57" s="4"/>
      <c r="S57" s="4"/>
      <c r="T57" s="2"/>
      <c r="U57" s="6"/>
      <c r="V57" s="4"/>
      <c r="W57" s="4"/>
      <c r="X57" s="3"/>
      <c r="Y57" s="8"/>
      <c r="Z57" s="3"/>
      <c r="AA57" s="3"/>
      <c r="AB57" s="3"/>
      <c r="AC57" s="3"/>
      <c r="AD57" s="3"/>
    </row>
    <row r="58" spans="1:31">
      <c r="A58" s="7"/>
      <c r="B58" s="3"/>
      <c r="D58" s="1"/>
      <c r="E58" s="2"/>
      <c r="F58" s="2"/>
      <c r="G58" s="2"/>
      <c r="H58" s="2"/>
      <c r="I58" s="2"/>
      <c r="J58" s="20"/>
      <c r="K58" s="2"/>
      <c r="L58" s="2"/>
      <c r="M58" s="2"/>
      <c r="N58" s="2"/>
      <c r="P58" s="4"/>
      <c r="Q58" s="4"/>
      <c r="R58" s="4"/>
      <c r="S58" s="4"/>
      <c r="T58" s="2"/>
      <c r="U58" s="6"/>
      <c r="V58" s="4"/>
      <c r="W58" s="4"/>
      <c r="X58" s="3"/>
      <c r="Y58" s="8"/>
      <c r="Z58" s="3"/>
      <c r="AA58" s="3"/>
      <c r="AB58" s="3"/>
      <c r="AC58" s="3"/>
      <c r="AD58" s="3"/>
    </row>
    <row r="59" spans="1:31">
      <c r="A59" s="7"/>
      <c r="B59" s="3"/>
      <c r="D59" s="1"/>
      <c r="E59" s="2"/>
      <c r="F59" s="2"/>
      <c r="G59" s="2"/>
      <c r="H59" s="2"/>
      <c r="I59" s="2"/>
      <c r="J59" s="20"/>
      <c r="K59" s="2"/>
      <c r="L59" s="2"/>
      <c r="M59" s="2"/>
      <c r="N59" s="2"/>
      <c r="P59" s="4"/>
      <c r="Q59" s="4"/>
      <c r="R59" s="4"/>
      <c r="S59" s="4"/>
      <c r="T59" s="2"/>
      <c r="U59" s="6"/>
      <c r="V59" s="4"/>
      <c r="W59" s="4"/>
      <c r="X59" s="3"/>
      <c r="Y59" s="8"/>
      <c r="Z59" s="3"/>
      <c r="AA59" s="3"/>
      <c r="AB59" s="3"/>
      <c r="AC59" s="3"/>
      <c r="AD59" s="3"/>
    </row>
    <row r="60" spans="1:31"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X60" s="14" t="s">
        <v>26</v>
      </c>
      <c r="Y60" s="9">
        <f>ABS(SUM(Y3:Y28))</f>
        <v>527.886877948387</v>
      </c>
      <c r="Z60" s="19">
        <f>SUM(Z3:Z28)</f>
        <v>251.88105440256845</v>
      </c>
      <c r="AA60" s="10">
        <f>SUM(AA3:AA28)</f>
        <v>64625.542619951069</v>
      </c>
      <c r="AB60" s="3"/>
      <c r="AC60" s="3"/>
      <c r="AD60" s="3"/>
      <c r="AE60" s="15"/>
    </row>
    <row r="61" spans="1:31" ht="23.25" customHeight="1"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R61" s="5"/>
      <c r="X61" s="14" t="s">
        <v>25</v>
      </c>
      <c r="Y61" s="3">
        <f>0.75*Y60</f>
        <v>395.91515846129028</v>
      </c>
      <c r="Z61" s="17">
        <f>0.75*Z60</f>
        <v>188.91079080192634</v>
      </c>
      <c r="AA61" s="18">
        <f>AA60/(AB21)</f>
        <v>251.8808280250139</v>
      </c>
      <c r="AB61" s="16" t="str">
        <f>IF(ABS(Z60-AA61)&lt;0.1,"balanced ro = "&amp;B3, "NG")</f>
        <v>balanced ro = -46.5719</v>
      </c>
      <c r="AC61" s="3"/>
    </row>
    <row r="62" spans="1:31"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Z62" s="15"/>
      <c r="AA62" s="15"/>
    </row>
    <row r="63" spans="1:31"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</row>
  </sheetData>
  <phoneticPr fontId="1" type="noConversion"/>
  <conditionalFormatting sqref="R17:R59 R3:R14">
    <cfRule type="cellIs" dxfId="310" priority="14" operator="equal">
      <formula>#REF!</formula>
    </cfRule>
  </conditionalFormatting>
  <conditionalFormatting sqref="R17:R59 R3:R14">
    <cfRule type="cellIs" dxfId="309" priority="25" operator="equal">
      <formula>MIN($R$3:$R$28)</formula>
    </cfRule>
    <cfRule type="cellIs" dxfId="308" priority="26" operator="equal">
      <formula>0.05292</formula>
    </cfRule>
    <cfRule type="cellIs" dxfId="307" priority="27" operator="equal">
      <formula>MIN($R$3:$R$28)</formula>
    </cfRule>
  </conditionalFormatting>
  <conditionalFormatting sqref="R17:R59 R3:R14">
    <cfRule type="cellIs" dxfId="306" priority="31" operator="equal">
      <formula>MIN($R$3:$R$28)</formula>
    </cfRule>
  </conditionalFormatting>
  <conditionalFormatting sqref="B3">
    <cfRule type="expression" dxfId="305" priority="2">
      <formula>ABS($Z$60-$AA$61)&lt;0.001</formula>
    </cfRule>
  </conditionalFormatting>
  <conditionalFormatting sqref="F3">
    <cfRule type="expression" dxfId="304" priority="1">
      <formula>ABS($Z$61-$AC$18)&lt;0.001</formula>
    </cfRule>
  </conditionalFormatting>
  <pageMargins left="0.7" right="0.7" top="0.75" bottom="0.75" header="0.3" footer="0.3"/>
  <pageSetup paperSize="9" orientation="portrait" r:id="rId1"/>
  <ignoredErrors>
    <ignoredError sqref="J4:J11 J12 J13:J1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DE2B-44EE-4C73-87C1-C21B5416C591}">
  <dimension ref="A1:AD3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ColWidth="9" defaultRowHeight="16.5"/>
  <cols>
    <col min="1" max="1" width="18" style="22" bestFit="1" customWidth="1"/>
    <col min="2" max="3" width="9" style="23"/>
    <col min="4" max="4" width="9" style="23" customWidth="1"/>
    <col min="5" max="5" width="9" style="23"/>
    <col min="6" max="6" width="1.375" style="23" customWidth="1"/>
    <col min="7" max="10" width="9" style="23"/>
    <col min="11" max="11" width="1.375" style="23" customWidth="1"/>
    <col min="12" max="15" width="9" style="23"/>
    <col min="16" max="16" width="1.375" style="23" customWidth="1"/>
    <col min="17" max="20" width="9" style="23"/>
    <col min="21" max="21" width="1.375" style="23" customWidth="1"/>
    <col min="22" max="25" width="9" style="23"/>
    <col min="26" max="26" width="1.375" style="23" customWidth="1"/>
    <col min="27" max="16384" width="9" style="23"/>
  </cols>
  <sheetData>
    <row r="1" spans="1:30" ht="32.25" customHeight="1">
      <c r="B1" s="78" t="s">
        <v>30</v>
      </c>
      <c r="C1" s="79"/>
      <c r="D1" s="79"/>
      <c r="E1" s="79"/>
      <c r="G1" s="79" t="s">
        <v>31</v>
      </c>
      <c r="H1" s="79"/>
      <c r="I1" s="79"/>
      <c r="J1" s="79"/>
      <c r="L1" s="78" t="s">
        <v>78</v>
      </c>
      <c r="M1" s="79"/>
      <c r="N1" s="79"/>
      <c r="O1" s="79"/>
      <c r="Q1" s="78" t="s">
        <v>79</v>
      </c>
      <c r="R1" s="79"/>
      <c r="S1" s="79"/>
      <c r="T1" s="79"/>
      <c r="V1" s="78" t="s">
        <v>147</v>
      </c>
      <c r="W1" s="79"/>
      <c r="X1" s="79"/>
      <c r="Y1" s="79"/>
      <c r="AA1" s="78" t="s">
        <v>148</v>
      </c>
      <c r="AB1" s="79"/>
      <c r="AC1" s="79"/>
      <c r="AD1" s="79"/>
    </row>
    <row r="2" spans="1:30">
      <c r="A2" s="63" t="s">
        <v>152</v>
      </c>
      <c r="C2" s="62"/>
      <c r="D2" s="24">
        <f>D3/0.22480894</f>
        <v>372.81332149662398</v>
      </c>
      <c r="E2" s="24">
        <f>sample!Z61*2</f>
        <v>377.82158160385268</v>
      </c>
      <c r="I2" s="24">
        <f>ex!Z61*2</f>
        <v>253.74438048021207</v>
      </c>
      <c r="N2" s="24">
        <f>'DB400'!Z61*2</f>
        <v>87.408561495628476</v>
      </c>
      <c r="S2" s="24">
        <f>'DB500'!Z61*2</f>
        <v>148.78939324802192</v>
      </c>
      <c r="X2" s="24">
        <f>'DB600'!Z142*2</f>
        <v>3865.8669201157018</v>
      </c>
      <c r="AC2" s="24">
        <f>'DB700'!Z61*2</f>
        <v>894.34156396493927</v>
      </c>
    </row>
    <row r="3" spans="1:30">
      <c r="A3" s="64" t="s">
        <v>153</v>
      </c>
      <c r="C3" s="62"/>
      <c r="D3" s="24">
        <f>0.75*D12*D13*(sample!F3/25.4*16)*D14</f>
        <v>83.81176762353526</v>
      </c>
      <c r="E3" s="24">
        <f>E2*0.22480894</f>
        <v>84.937669269485625</v>
      </c>
      <c r="I3" s="24">
        <f>I2*0.22480894</f>
        <v>57.044005206713173</v>
      </c>
      <c r="N3" s="24">
        <f>N2*0.22480894</f>
        <v>19.650226056757052</v>
      </c>
      <c r="S3" s="24">
        <f>S2*0.22480894</f>
        <v>33.449185779330968</v>
      </c>
      <c r="X3" s="24">
        <f>X2*0.22480894</f>
        <v>869.08144449227564</v>
      </c>
      <c r="AC3" s="24">
        <f>AC2*0.22480894</f>
        <v>201.05597899290021</v>
      </c>
    </row>
    <row r="4" spans="1:30">
      <c r="A4" s="22" t="s">
        <v>33</v>
      </c>
      <c r="D4" s="28">
        <f>sample!K3*2</f>
        <v>240</v>
      </c>
      <c r="I4" s="28">
        <f>stiffener_C_shaped_weld!B79</f>
        <v>460</v>
      </c>
      <c r="N4" s="28">
        <f>stiffener_C_shaped_weld!C79</f>
        <v>280</v>
      </c>
      <c r="S4" s="28">
        <f>stiffener_C_shaped_weld!D79</f>
        <v>360</v>
      </c>
      <c r="X4" s="28">
        <f>stiffener_C_shaped_weld!E79</f>
        <v>460</v>
      </c>
      <c r="AC4" s="28">
        <f>stiffener_C_shaped_weld!G79</f>
        <v>520</v>
      </c>
    </row>
    <row r="5" spans="1:30">
      <c r="A5" s="22" t="s">
        <v>34</v>
      </c>
      <c r="D5" s="28">
        <f>MAX(sample!D3:D14)*sample!E3</f>
        <v>120</v>
      </c>
      <c r="I5" s="28">
        <f>stiffener_C_shaped_weld!B80</f>
        <v>110</v>
      </c>
      <c r="N5" s="28">
        <f>stiffener_C_shaped_weld!C80</f>
        <v>100</v>
      </c>
      <c r="S5" s="28">
        <f>stiffener_C_shaped_weld!D80</f>
        <v>100</v>
      </c>
      <c r="X5" s="28">
        <f>stiffener_C_shaped_weld!E80</f>
        <v>100</v>
      </c>
      <c r="AC5" s="28">
        <f>stiffener_C_shaped_weld!G80</f>
        <v>100</v>
      </c>
    </row>
    <row r="6" spans="1:30">
      <c r="D6" s="25" t="s">
        <v>49</v>
      </c>
      <c r="I6" s="25" t="s">
        <v>49</v>
      </c>
      <c r="N6" s="25" t="s">
        <v>49</v>
      </c>
      <c r="S6" s="25" t="s">
        <v>49</v>
      </c>
      <c r="X6" s="25" t="s">
        <v>49</v>
      </c>
      <c r="AC6" s="25" t="s">
        <v>49</v>
      </c>
    </row>
    <row r="7" spans="1:30">
      <c r="B7" s="26"/>
      <c r="C7" s="26">
        <v>0.5</v>
      </c>
      <c r="D7" s="26">
        <f>D5/D4</f>
        <v>0.5</v>
      </c>
      <c r="E7" s="26">
        <v>0.5</v>
      </c>
      <c r="F7" s="26"/>
      <c r="G7" s="26"/>
      <c r="H7" s="26">
        <v>0.2</v>
      </c>
      <c r="I7" s="26">
        <f>I5/I4</f>
        <v>0.2391304347826087</v>
      </c>
      <c r="J7" s="26">
        <v>0.3</v>
      </c>
      <c r="K7" s="26"/>
      <c r="L7" s="26"/>
      <c r="M7" s="26">
        <v>0.3</v>
      </c>
      <c r="N7" s="26">
        <f>N5/N4</f>
        <v>0.35714285714285715</v>
      </c>
      <c r="O7" s="26">
        <v>0.4</v>
      </c>
      <c r="P7" s="26"/>
      <c r="Q7" s="26"/>
      <c r="R7" s="26">
        <v>0.2</v>
      </c>
      <c r="S7" s="26">
        <f>S5/S4</f>
        <v>0.27777777777777779</v>
      </c>
      <c r="T7" s="26">
        <v>0.3</v>
      </c>
      <c r="U7" s="26"/>
      <c r="V7" s="26"/>
      <c r="W7" s="26">
        <v>0.2</v>
      </c>
      <c r="X7" s="26">
        <f>X5/X4</f>
        <v>0.21739130434782608</v>
      </c>
      <c r="Y7" s="26">
        <v>0.3</v>
      </c>
      <c r="Z7" s="26"/>
      <c r="AA7" s="26"/>
      <c r="AB7" s="26">
        <v>0.1</v>
      </c>
      <c r="AC7" s="26">
        <f>AC5/AC4</f>
        <v>0.19230769230769232</v>
      </c>
      <c r="AD7" s="26">
        <v>0.2</v>
      </c>
    </row>
    <row r="8" spans="1:30">
      <c r="B8" s="26">
        <v>0.8</v>
      </c>
      <c r="C8" s="26">
        <v>2.02</v>
      </c>
      <c r="D8" s="26">
        <f>IF(C7=E7,C8,C8+(E8-C8)/(E7-C7)*(D7-C7))</f>
        <v>2.02</v>
      </c>
      <c r="E8" s="26">
        <v>2.02</v>
      </c>
      <c r="F8" s="26"/>
      <c r="G8" s="26">
        <v>1.8</v>
      </c>
      <c r="H8" s="26">
        <v>0.56999999999999995</v>
      </c>
      <c r="I8" s="26">
        <f>IF(H7=J7,H8,H8+(J8-H8)/(J7-H7)*(I7-H7))</f>
        <v>0.61734782608695649</v>
      </c>
      <c r="J8" s="26">
        <v>0.69099999999999995</v>
      </c>
      <c r="K8" s="26"/>
      <c r="L8" s="26">
        <v>0.7</v>
      </c>
      <c r="M8" s="26">
        <v>1.66</v>
      </c>
      <c r="N8" s="26">
        <f>IF(M7=O7,M8,M8+(O8-M8)/(O7-M7)*(N7-M7))</f>
        <v>1.8257142857142856</v>
      </c>
      <c r="O8" s="26">
        <v>1.95</v>
      </c>
      <c r="P8" s="26"/>
      <c r="Q8" s="26">
        <v>1.4</v>
      </c>
      <c r="R8" s="26">
        <v>0.72899999999999998</v>
      </c>
      <c r="S8" s="26">
        <f>IF(R7=T7,R8,R8+(T8-R8)/(T7-R7)*(S7-R7))</f>
        <v>0.84877777777777785</v>
      </c>
      <c r="T8" s="26">
        <v>0.88300000000000001</v>
      </c>
      <c r="U8" s="26"/>
      <c r="V8" s="26">
        <v>1.8</v>
      </c>
      <c r="W8" s="26">
        <v>0.56999999999999995</v>
      </c>
      <c r="X8" s="26">
        <f>IF(W7=Y7,W8,W8+(Y8-W8)/(Y7-W7)*(X7-W7))</f>
        <v>0.59104347826086945</v>
      </c>
      <c r="Y8" s="26">
        <v>0.69099999999999995</v>
      </c>
      <c r="Z8" s="26"/>
      <c r="AA8" s="26">
        <v>1</v>
      </c>
      <c r="AB8" s="26">
        <v>0.81299999999999994</v>
      </c>
      <c r="AC8" s="26">
        <f>IF(AB7=AD7,AB8,AB8+(AD8-AB8)/(AD7-AB7)*(AC7-AB7))</f>
        <v>0.98561538461538456</v>
      </c>
      <c r="AD8" s="26">
        <v>1</v>
      </c>
    </row>
    <row r="9" spans="1:30">
      <c r="A9" s="22" t="s">
        <v>3</v>
      </c>
      <c r="B9" s="26">
        <f>sample!AB17/D4</f>
        <v>0.875</v>
      </c>
      <c r="C9" s="26">
        <f>IF(B8=B10,C8,C8+(C10-C8)/(B10-B8)*(B9-B8))</f>
        <v>1.8775000000000002</v>
      </c>
      <c r="D9" s="27">
        <f>IF(C7=E7,C9,C9+(E9-C9)/(E7-C7)*(D7-C7))</f>
        <v>1.8775000000000002</v>
      </c>
      <c r="E9" s="26">
        <f>IF(B8=B10,E8,E8+(E10-E8)/(B10-B8)*(B9-B8))</f>
        <v>1.8775000000000002</v>
      </c>
      <c r="F9" s="26"/>
      <c r="G9" s="26">
        <f>ex!AB17/I4</f>
        <v>1.8059368682712063</v>
      </c>
      <c r="H9" s="26">
        <f>IF(G8=G10,H8,H8+(H10-H8)/(G10-G8)*(G9-G8))</f>
        <v>0.56833767688406223</v>
      </c>
      <c r="I9" s="27">
        <f>IF(H7=J7,H9,H9+(J9-H9)/(J7-H7)*(I7-H7))</f>
        <v>0.61554611562899919</v>
      </c>
      <c r="J9" s="26">
        <f>IF(G8=G10,J8,J8+(J10-J8)/(G10-G8)*(G9-G8))</f>
        <v>0.68898146478778988</v>
      </c>
      <c r="K9" s="26"/>
      <c r="L9" s="26">
        <f>'DB400'!AB17/N4</f>
        <v>0.73653179325458829</v>
      </c>
      <c r="M9" s="26">
        <f>IF(L8=L10,M8,M8+(M10-M8)/(L10-L8)*(L9-L8))</f>
        <v>1.5942427721417409</v>
      </c>
      <c r="N9" s="27">
        <f>IF(M7=O7,M9,M9+(O9-M9)/(O7-M7)*(N7-M7))</f>
        <v>1.755781995769788</v>
      </c>
      <c r="O9" s="26">
        <f>IF(L8=L10,O8,O8+(O10-O8)/(L10-L8)*(L9-L8))</f>
        <v>1.8769364134908233</v>
      </c>
      <c r="P9" s="26"/>
      <c r="Q9" s="26">
        <f>'DB500'!AB17/S4</f>
        <v>1.5380829209341458</v>
      </c>
      <c r="R9" s="26">
        <f>IF(Q8=Q10,R8,R8+(R10-R8)/(Q10-Q8)*(Q9-Q8))</f>
        <v>0.66755310018430514</v>
      </c>
      <c r="S9" s="27">
        <f>IF(R7=T7,R9,R9+(T9-R9)/(T7-R7)*(S7-R7))</f>
        <v>0.77712808435972669</v>
      </c>
      <c r="T9" s="26">
        <f>IF(Q8=Q10,T8,T8+(T10-T8)/(Q10-Q8)*(Q9-Q8))</f>
        <v>0.80843522269556134</v>
      </c>
      <c r="U9" s="26"/>
      <c r="V9" s="26">
        <f>'DB600'!AB12/X4</f>
        <v>6.5217391304347823E-3</v>
      </c>
      <c r="W9" s="26">
        <f>IF(V8=V10,W8,W8+(W10-W8)/(V10-V8)*(V9-V8))</f>
        <v>1.0721739130434778</v>
      </c>
      <c r="X9" s="27">
        <f>IF(W7=Y7,W9,W9+(Y9-W9)/(Y7-W7)*(X7-W7))</f>
        <v>1.1119319470699427</v>
      </c>
      <c r="Y9" s="26">
        <f>IF(V8=V10,Y8,Y8+(Y10-Y8)/(V10-V8)*(V9-V8))</f>
        <v>1.3007826086956518</v>
      </c>
      <c r="Z9" s="26"/>
      <c r="AA9" s="26">
        <f>'DB700'!AB17/AC4</f>
        <v>0.39636752136752135</v>
      </c>
      <c r="AB9" s="26">
        <f>IF(AA8=AA10,AB8,AB8+(AB10-AB8)/(AA10-AA8)*(AA9-AA8))</f>
        <v>1.2023429487179484</v>
      </c>
      <c r="AC9" s="27">
        <f>IF(AB7=AD7,AB9,AB9+(AD9-AB9)/(AD7-AB7)*(AC7-AB7))</f>
        <v>1.4473942307692309</v>
      </c>
      <c r="AD9" s="26">
        <f>IF(AA8=AA10,AD8,AD8+(AD10-AD8)/(AA10-AA8)*(AA9-AA8))</f>
        <v>1.4678151709401712</v>
      </c>
    </row>
    <row r="10" spans="1:30">
      <c r="B10" s="26">
        <v>0.9</v>
      </c>
      <c r="C10" s="26">
        <v>1.83</v>
      </c>
      <c r="D10" s="26">
        <f>IF(C7=E7,C10,C10+(E10-C10)/(E7-C7)*(D7-C7))</f>
        <v>1.83</v>
      </c>
      <c r="E10" s="26">
        <v>1.83</v>
      </c>
      <c r="F10" s="26"/>
      <c r="G10" s="26">
        <v>2</v>
      </c>
      <c r="H10" s="26">
        <v>0.51400000000000001</v>
      </c>
      <c r="I10" s="26">
        <f>IF(H7=J7,H10,H10+(J10-H10)/(J7-H7)*(I7-H7))</f>
        <v>0.55665217391304345</v>
      </c>
      <c r="J10" s="26">
        <v>0.623</v>
      </c>
      <c r="K10" s="26"/>
      <c r="L10" s="26">
        <v>0.8</v>
      </c>
      <c r="M10" s="26">
        <v>1.48</v>
      </c>
      <c r="N10" s="26">
        <f>IF(M7=O7,M10,M10+(O10-M10)/(O7-M7)*(N7-M7))</f>
        <v>1.6342857142857143</v>
      </c>
      <c r="O10" s="26">
        <v>1.75</v>
      </c>
      <c r="P10" s="26"/>
      <c r="Q10" s="26">
        <v>1.6</v>
      </c>
      <c r="R10" s="26">
        <v>0.64</v>
      </c>
      <c r="S10" s="26">
        <f>IF(R7=T7,R10,R10+(T10-R10)/(T7-R7)*(S7-R7))</f>
        <v>0.745</v>
      </c>
      <c r="T10" s="26">
        <v>0.77500000000000002</v>
      </c>
      <c r="U10" s="26"/>
      <c r="V10" s="26">
        <v>2</v>
      </c>
      <c r="W10" s="26">
        <v>0.51400000000000001</v>
      </c>
      <c r="X10" s="26">
        <f>IF(W7=Y7,W10,W10+(Y10-W10)/(Y7-W7)*(X7-W7))</f>
        <v>0.53295652173913044</v>
      </c>
      <c r="Y10" s="26">
        <v>0.623</v>
      </c>
      <c r="Z10" s="26"/>
      <c r="AA10" s="26">
        <v>1.2</v>
      </c>
      <c r="AB10" s="26">
        <v>0.68400000000000005</v>
      </c>
      <c r="AC10" s="26">
        <f>IF(AB7=AD7,AB10,AB10+(AD10-AB10)/(AD7-AB7)*(AC7-AB7))</f>
        <v>0.83261538461538454</v>
      </c>
      <c r="AD10" s="26">
        <v>0.84499999999999997</v>
      </c>
    </row>
    <row r="12" spans="1:30">
      <c r="A12" s="22" t="s">
        <v>47</v>
      </c>
      <c r="B12" s="26"/>
      <c r="C12" s="26"/>
      <c r="D12" s="26">
        <f>D9</f>
        <v>1.8775000000000002</v>
      </c>
      <c r="G12" s="26"/>
      <c r="I12" s="26">
        <f>I9</f>
        <v>0.61554611562899919</v>
      </c>
      <c r="L12" s="26"/>
      <c r="N12" s="26">
        <f>N9</f>
        <v>1.755781995769788</v>
      </c>
      <c r="Q12" s="26"/>
      <c r="S12" s="26">
        <f>S9</f>
        <v>0.77712808435972669</v>
      </c>
      <c r="V12" s="26"/>
      <c r="X12" s="26">
        <f>X9</f>
        <v>1.1119319470699427</v>
      </c>
      <c r="AA12" s="26"/>
      <c r="AC12" s="26">
        <f>AC9</f>
        <v>1.4473942307692309</v>
      </c>
    </row>
    <row r="13" spans="1:30" ht="17.25" customHeight="1">
      <c r="A13" s="58" t="s">
        <v>141</v>
      </c>
      <c r="C13" s="28"/>
      <c r="D13" s="28">
        <v>1</v>
      </c>
      <c r="I13" s="28">
        <v>1</v>
      </c>
      <c r="N13" s="28">
        <v>1</v>
      </c>
      <c r="S13" s="28">
        <v>1</v>
      </c>
      <c r="X13" s="28">
        <v>1</v>
      </c>
      <c r="AC13" s="28">
        <v>1</v>
      </c>
    </row>
    <row r="14" spans="1:30">
      <c r="A14" s="22" t="s">
        <v>48</v>
      </c>
      <c r="D14" s="37">
        <f>D4/25.4</f>
        <v>9.4488188976377963</v>
      </c>
      <c r="E14" s="37"/>
      <c r="I14" s="23">
        <f>I4/25.4</f>
        <v>18.110236220472441</v>
      </c>
      <c r="N14" s="23">
        <f>N4/25.4</f>
        <v>11.023622047244094</v>
      </c>
      <c r="S14" s="23">
        <f>S4/25.4</f>
        <v>14.173228346456694</v>
      </c>
      <c r="X14" s="23">
        <f>X4/25.4</f>
        <v>18.110236220472441</v>
      </c>
      <c r="AC14" s="23">
        <f>AC4/25.4</f>
        <v>20.472440944881892</v>
      </c>
    </row>
    <row r="15" spans="1:30">
      <c r="A15" s="22" t="s">
        <v>51</v>
      </c>
      <c r="D15" s="37">
        <f>D3/(0.75*D12*D13*D14)</f>
        <v>6.2992125984251972</v>
      </c>
      <c r="E15" s="37">
        <f>E3/(0.75*D12*D13*D14)</f>
        <v>6.3838342933716072</v>
      </c>
      <c r="I15" s="23">
        <f>I3/(0.75*I12*I13*I14)</f>
        <v>6.8228219399346957</v>
      </c>
      <c r="N15" s="23">
        <f>N3/(0.75*N12*N13*N14)</f>
        <v>1.353665565282919</v>
      </c>
      <c r="S15" s="37">
        <f>S3/(0.75*S12*S13*S14)</f>
        <v>4.0491409898212636</v>
      </c>
      <c r="X15" s="23">
        <f>X3/(0.75*X12*X13*X14)</f>
        <v>57.543581778042352</v>
      </c>
      <c r="AC15" s="23">
        <f>AC3/(0.75*AC12*AC13*AC14)</f>
        <v>9.0468890670806079</v>
      </c>
    </row>
    <row r="16" spans="1:30">
      <c r="A16" s="22" t="s">
        <v>32</v>
      </c>
      <c r="C16" s="61"/>
      <c r="D16" s="61">
        <f>D15/16*25.4</f>
        <v>10</v>
      </c>
      <c r="E16" s="42">
        <f>E15/16*25.4</f>
        <v>10.134336940727426</v>
      </c>
      <c r="I16" s="42">
        <f>I15/16*25.4</f>
        <v>10.831229829646329</v>
      </c>
      <c r="N16" s="42">
        <f>N15/16*25.4</f>
        <v>2.1489440848866339</v>
      </c>
      <c r="S16" s="42">
        <f>S15/16*25.4</f>
        <v>6.4280113213412555</v>
      </c>
      <c r="X16" s="42">
        <f>X15/16*25.4</f>
        <v>91.350436072642225</v>
      </c>
      <c r="AC16" s="42">
        <f>AC15/16*25.4</f>
        <v>14.361936393990463</v>
      </c>
    </row>
    <row r="17" spans="1:30">
      <c r="D17" s="61"/>
      <c r="E17" s="67">
        <f>(E16-D16)/D16</f>
        <v>1.3433694072742596E-2</v>
      </c>
    </row>
    <row r="19" spans="1:30">
      <c r="D19" s="25"/>
    </row>
    <row r="20" spans="1:30">
      <c r="B20" s="28"/>
      <c r="C20" s="28"/>
      <c r="E20" s="28"/>
      <c r="F20" s="28"/>
      <c r="K20" s="28"/>
      <c r="P20" s="28"/>
      <c r="U20" s="28"/>
      <c r="Z20" s="28"/>
    </row>
    <row r="21" spans="1:30" ht="32.25" customHeight="1">
      <c r="B21" s="78" t="s">
        <v>80</v>
      </c>
      <c r="C21" s="79"/>
      <c r="D21" s="79"/>
      <c r="E21" s="79"/>
      <c r="G21" s="78" t="s">
        <v>81</v>
      </c>
      <c r="H21" s="79"/>
      <c r="I21" s="79"/>
      <c r="J21" s="79"/>
      <c r="L21" s="78" t="s">
        <v>146</v>
      </c>
      <c r="M21" s="79"/>
      <c r="N21" s="79"/>
      <c r="O21" s="79"/>
      <c r="Q21" s="79"/>
      <c r="R21" s="79"/>
      <c r="S21" s="79"/>
      <c r="T21" s="79"/>
      <c r="V21" s="79" t="s">
        <v>53</v>
      </c>
      <c r="W21" s="79"/>
      <c r="X21" s="79"/>
      <c r="Y21" s="79"/>
      <c r="AA21" s="78" t="s">
        <v>82</v>
      </c>
      <c r="AB21" s="79"/>
      <c r="AC21" s="79"/>
      <c r="AD21" s="79"/>
    </row>
    <row r="22" spans="1:30">
      <c r="A22" s="63" t="s">
        <v>152</v>
      </c>
      <c r="D22" s="24">
        <f>'DB800'!Z61*2</f>
        <v>594.9234212065785</v>
      </c>
      <c r="I22" s="24">
        <f>'DB900'!Z61*2</f>
        <v>760.99742106507176</v>
      </c>
      <c r="N22" s="24">
        <f>'DB588'!Z61*2</f>
        <v>313.26928468047447</v>
      </c>
      <c r="X22" s="24">
        <f>'CW1'!Z61*2</f>
        <v>1067.9994807703752</v>
      </c>
      <c r="AC22" s="23">
        <f>AC23/0.22480894</f>
        <v>280.23796562538837</v>
      </c>
    </row>
    <row r="23" spans="1:30">
      <c r="A23" s="64" t="s">
        <v>153</v>
      </c>
      <c r="D23" s="24">
        <f>D22*0.22480894</f>
        <v>133.74410370262444</v>
      </c>
      <c r="I23" s="24">
        <f>I22*0.22480894</f>
        <v>171.07902357237248</v>
      </c>
      <c r="N23" s="24">
        <f>N22*0.22480894</f>
        <v>70.425735823575707</v>
      </c>
      <c r="S23" s="24"/>
      <c r="X23" s="24">
        <v>240</v>
      </c>
      <c r="AC23" s="24">
        <v>63</v>
      </c>
    </row>
    <row r="24" spans="1:30">
      <c r="A24" s="22" t="s">
        <v>33</v>
      </c>
      <c r="D24" s="28">
        <f>stiffener_C_shaped_weld!H79</f>
        <v>620</v>
      </c>
      <c r="I24" s="28">
        <f>stiffener_C_shaped_weld!I79</f>
        <v>720</v>
      </c>
      <c r="N24" s="28">
        <f>stiffener_C_shaped_weld!F79</f>
        <v>420</v>
      </c>
      <c r="S24" s="28"/>
      <c r="X24" s="28">
        <v>860</v>
      </c>
      <c r="AC24" s="28">
        <v>560</v>
      </c>
    </row>
    <row r="25" spans="1:30">
      <c r="A25" s="22" t="s">
        <v>34</v>
      </c>
      <c r="D25" s="28">
        <f>stiffener_C_shaped_weld!H80</f>
        <v>100</v>
      </c>
      <c r="I25" s="28">
        <f>stiffener_C_shaped_weld!I80</f>
        <v>100</v>
      </c>
      <c r="N25" s="28">
        <f>stiffener_C_shaped_weld!F80</f>
        <v>100</v>
      </c>
      <c r="S25" s="28"/>
      <c r="X25" s="28">
        <f>ROUND(4*25.4/10,0)*10</f>
        <v>100</v>
      </c>
      <c r="AC25" s="28">
        <f>ROUND(4*25.4/10,0)*10</f>
        <v>100</v>
      </c>
    </row>
    <row r="26" spans="1:30">
      <c r="D26" s="25" t="s">
        <v>49</v>
      </c>
      <c r="I26" s="25" t="s">
        <v>49</v>
      </c>
      <c r="N26" s="25" t="s">
        <v>49</v>
      </c>
      <c r="S26" s="25"/>
      <c r="X26" s="25" t="s">
        <v>49</v>
      </c>
      <c r="AC26" s="25" t="s">
        <v>49</v>
      </c>
    </row>
    <row r="27" spans="1:30">
      <c r="B27" s="26"/>
      <c r="C27" s="26">
        <v>0.1</v>
      </c>
      <c r="D27" s="26">
        <f>D25/D24</f>
        <v>0.16129032258064516</v>
      </c>
      <c r="E27" s="26">
        <v>0.2</v>
      </c>
      <c r="F27" s="26"/>
      <c r="G27" s="26"/>
      <c r="H27" s="26">
        <v>0.1</v>
      </c>
      <c r="I27" s="26">
        <f>I25/I24</f>
        <v>0.1388888888888889</v>
      </c>
      <c r="J27" s="26">
        <v>0.2</v>
      </c>
      <c r="K27" s="26"/>
      <c r="L27" s="26"/>
      <c r="M27" s="26">
        <v>0.2</v>
      </c>
      <c r="N27" s="26">
        <f>N25/N24</f>
        <v>0.23809523809523808</v>
      </c>
      <c r="O27" s="26">
        <v>0.3</v>
      </c>
      <c r="P27" s="26"/>
      <c r="Q27" s="26"/>
      <c r="R27" s="26"/>
      <c r="S27" s="26"/>
      <c r="T27" s="26"/>
      <c r="U27" s="26"/>
      <c r="V27" s="26"/>
      <c r="W27" s="26">
        <v>0.1</v>
      </c>
      <c r="X27" s="26">
        <f>X25/X24</f>
        <v>0.11627906976744186</v>
      </c>
      <c r="Y27" s="26">
        <v>0.2</v>
      </c>
      <c r="Z27" s="26"/>
      <c r="AA27" s="26"/>
      <c r="AB27" s="26">
        <v>0.1</v>
      </c>
      <c r="AC27" s="26">
        <f>AC25/AC24</f>
        <v>0.17857142857142858</v>
      </c>
      <c r="AD27" s="26">
        <v>0.2</v>
      </c>
    </row>
    <row r="28" spans="1:30">
      <c r="B28" s="26">
        <v>1</v>
      </c>
      <c r="C28" s="26">
        <v>0.81299999999999994</v>
      </c>
      <c r="D28" s="26">
        <f>IF(C27=E27,C28,C28+(E28-C28)/(E27-C27)*(D27-C27))</f>
        <v>0.92761290322580647</v>
      </c>
      <c r="E28" s="26">
        <v>1</v>
      </c>
      <c r="F28" s="26"/>
      <c r="G28" s="26">
        <v>1</v>
      </c>
      <c r="H28" s="26">
        <v>0.81299999999999994</v>
      </c>
      <c r="I28" s="26">
        <f>IF(H27=J27,H28,H28+(J28-H28)/(J27-H27)*(I27-H27))</f>
        <v>0.88572222222222219</v>
      </c>
      <c r="J28" s="26">
        <v>1</v>
      </c>
      <c r="K28" s="26"/>
      <c r="L28" s="26">
        <v>0.9</v>
      </c>
      <c r="M28" s="26">
        <v>1.1100000000000001</v>
      </c>
      <c r="N28" s="26">
        <f>IF(M27=O27,M28,M28+(O28-M28)/(O27-M27)*(N27-M27))</f>
        <v>1.1976190476190476</v>
      </c>
      <c r="O28" s="26">
        <v>1.34</v>
      </c>
      <c r="P28" s="26"/>
      <c r="Q28" s="26"/>
      <c r="R28" s="26"/>
      <c r="S28" s="26"/>
      <c r="T28" s="26"/>
      <c r="U28" s="26"/>
      <c r="V28" s="26">
        <v>1.2</v>
      </c>
      <c r="W28" s="26">
        <v>0.68400000000000005</v>
      </c>
      <c r="X28" s="26">
        <f>IF(W27=Y27,W28,W28+(Y28-W28)/(Y27-W27)*(X27-W27))</f>
        <v>0.71020930232558144</v>
      </c>
      <c r="Y28" s="26">
        <v>0.84499999999999997</v>
      </c>
      <c r="Z28" s="26"/>
      <c r="AA28" s="26">
        <v>2</v>
      </c>
      <c r="AB28" s="26">
        <v>0.41499999999999998</v>
      </c>
      <c r="AC28" s="26">
        <f>IF(AB27=AD27,AB28,AB28+(AD28-AB28)/(AD27-AB27)*(AC27-AB27))</f>
        <v>0.49278571428571427</v>
      </c>
      <c r="AD28" s="26">
        <v>0.51400000000000001</v>
      </c>
    </row>
    <row r="29" spans="1:30">
      <c r="A29" s="22" t="s">
        <v>3</v>
      </c>
      <c r="B29" s="26">
        <f>'DB800'!AB17/D24</f>
        <v>1.0340301678358998</v>
      </c>
      <c r="C29" s="26">
        <f>IF(B28=B30,C28,C28+(C30-C28)/(B30-B28)*(B29-B28))</f>
        <v>0.79105054174584455</v>
      </c>
      <c r="D29" s="27">
        <f>IF(C27=E27,C29,C29+(E29-C29)/(E27-C27)*(D27-C27))</f>
        <v>0.90295200901827444</v>
      </c>
      <c r="E29" s="26">
        <f>IF(B28=B30,E28,E28+(E30-E28)/(B30-B28)*(B29-B28))</f>
        <v>0.97362661992717758</v>
      </c>
      <c r="F29" s="26"/>
      <c r="G29" s="26">
        <f>'DB900'!AB17/I24</f>
        <v>1.1191082498646696</v>
      </c>
      <c r="H29" s="26">
        <f>IF(G28=G30,H28,H28+(H30-H28)/(G30-G28)*(G29-G28))</f>
        <v>0.73617517883728811</v>
      </c>
      <c r="I29" s="27">
        <f>IF(H27=J27,H29,H29+(J29-H29)/(J27-H27)*(I27-H27))</f>
        <v>0.80287581731635205</v>
      </c>
      <c r="J29" s="26">
        <f>IF(G28=G30,J28,J28+(J30-J28)/(G30-G28)*(G29-G28))</f>
        <v>0.90769110635488104</v>
      </c>
      <c r="K29" s="26"/>
      <c r="L29" s="26">
        <f>'DB588'!AB17/N24</f>
        <v>0.97312511496442688</v>
      </c>
      <c r="M29" s="26">
        <f>IF(L28=L30,M28,M28+(M30-M28)/(L30-L28)*(L29-L28))</f>
        <v>1.0295623735391304</v>
      </c>
      <c r="N29" s="27">
        <f>IF(M27=O27,M29,M29+(O29-M29)/(O27-M27)*(N27-M27))</f>
        <v>1.111609983827555</v>
      </c>
      <c r="O29" s="26">
        <f>IF(L28=L30,O28,O28+(O30-O28)/(L30-L28)*(L29-L28))</f>
        <v>1.2449373505462451</v>
      </c>
      <c r="P29" s="25"/>
      <c r="Q29" s="25"/>
      <c r="R29" s="25"/>
      <c r="S29" s="25"/>
      <c r="T29" s="26"/>
      <c r="U29" s="26"/>
      <c r="V29" s="26">
        <f>'CW1'!AB17/X24</f>
        <v>1.2713663098835977</v>
      </c>
      <c r="W29" s="26">
        <f>IF(V28=V30,W28,W28+(W30-W28)/(V30-V28)*(V29-V28))</f>
        <v>0.65010100280529115</v>
      </c>
      <c r="X29" s="27">
        <f>IF(W27=Y27,W29,W29+(Y29-W29)/(Y27-W27)*(X27-W27))</f>
        <v>0.67509043913635058</v>
      </c>
      <c r="Y29" s="26">
        <f>IF(V28=V30,Y28,Y28+(Y30-Y28)/(V30-V28)*(V29-V28))</f>
        <v>0.80360754026751335</v>
      </c>
      <c r="Z29" s="26"/>
      <c r="AA29" s="26">
        <f>'CW2'!AB17/AC24</f>
        <v>2.0236976369495165</v>
      </c>
      <c r="AB29" s="26">
        <f>IF(AA28=AA30,AB28,AB28+(AB30-AB28)/(AA30-AA28)*(AA29-AA28))</f>
        <v>0.41061593716433942</v>
      </c>
      <c r="AC29" s="27">
        <f>IF(AB27=AD27,AB29,AB29+(AD29-AB29)/(AD27-AB27)*(AC27-AB27))</f>
        <v>0.48756377071505297</v>
      </c>
      <c r="AD29" s="26">
        <f>IF(AA28=AA30,AD28,AD28+(AD30-AD28)/(AA30-AA28)*(AA29-AA28))</f>
        <v>0.50854954350161119</v>
      </c>
    </row>
    <row r="30" spans="1:30">
      <c r="B30" s="26">
        <v>1.2</v>
      </c>
      <c r="C30" s="26">
        <v>0.68400000000000005</v>
      </c>
      <c r="D30" s="26">
        <f>IF(C27=E27,C30,C30+(E30-C30)/(E27-C27)*(D27-C27))</f>
        <v>0.7826774193548387</v>
      </c>
      <c r="E30" s="26">
        <v>0.84499999999999997</v>
      </c>
      <c r="F30" s="26"/>
      <c r="G30" s="26">
        <v>1.2</v>
      </c>
      <c r="H30" s="26">
        <v>0.68400000000000005</v>
      </c>
      <c r="I30" s="26">
        <f>IF(H27=J27,H30,H30+(J30-H30)/(J27-H27)*(I27-H27))</f>
        <v>0.74661111111111111</v>
      </c>
      <c r="J30" s="26">
        <v>0.84499999999999997</v>
      </c>
      <c r="K30" s="26"/>
      <c r="L30" s="26">
        <v>1</v>
      </c>
      <c r="M30" s="26">
        <v>1</v>
      </c>
      <c r="N30" s="26">
        <f>IF(M27=O27,M30,M30+(O30-M30)/(O27-M27)*(N27-M27))</f>
        <v>1.0799999999999998</v>
      </c>
      <c r="O30" s="26">
        <v>1.21</v>
      </c>
      <c r="P30" s="25"/>
      <c r="Q30" s="25"/>
      <c r="R30" s="25"/>
      <c r="S30" s="25"/>
      <c r="T30" s="26"/>
      <c r="U30" s="26"/>
      <c r="V30" s="26">
        <v>1.4</v>
      </c>
      <c r="W30" s="26">
        <v>0.58899999999999997</v>
      </c>
      <c r="X30" s="26">
        <f>IF(W27=Y27,W30,W30+(Y30-W30)/(Y27-W27)*(X27-W27))</f>
        <v>0.61179069767441852</v>
      </c>
      <c r="Y30" s="26">
        <v>0.72899999999999998</v>
      </c>
      <c r="Z30" s="26"/>
      <c r="AA30" s="26">
        <v>2.2000000000000002</v>
      </c>
      <c r="AB30" s="26">
        <v>0.378</v>
      </c>
      <c r="AC30" s="26">
        <f>IF(AB27=AD27,AB30,AB30+(AD30-AB30)/(AD27-AB27)*(AC27-AB27))</f>
        <v>0.44871428571428573</v>
      </c>
      <c r="AD30" s="26">
        <v>0.46800000000000003</v>
      </c>
    </row>
    <row r="31" spans="1:30">
      <c r="P31" s="25"/>
      <c r="Q31" s="25"/>
      <c r="R31" s="25"/>
      <c r="S31" s="25"/>
    </row>
    <row r="32" spans="1:30">
      <c r="A32" s="22" t="s">
        <v>47</v>
      </c>
      <c r="B32" s="26"/>
      <c r="D32" s="26">
        <f>D29</f>
        <v>0.90295200901827444</v>
      </c>
      <c r="G32" s="26"/>
      <c r="I32" s="26">
        <f>I29</f>
        <v>0.80287581731635205</v>
      </c>
      <c r="L32" s="26"/>
      <c r="N32" s="26">
        <f>N29</f>
        <v>1.111609983827555</v>
      </c>
      <c r="P32" s="25"/>
      <c r="Q32" s="25"/>
      <c r="R32" s="25"/>
      <c r="S32" s="25"/>
      <c r="V32" s="26"/>
      <c r="X32" s="26">
        <f>X29</f>
        <v>0.67509043913635058</v>
      </c>
      <c r="AA32" s="26"/>
      <c r="AC32" s="26">
        <f>AC29</f>
        <v>0.48756377071505297</v>
      </c>
    </row>
    <row r="33" spans="1:29" ht="17.25" customHeight="1">
      <c r="A33" s="58" t="s">
        <v>141</v>
      </c>
      <c r="D33" s="28">
        <v>1</v>
      </c>
      <c r="I33" s="28">
        <v>1</v>
      </c>
      <c r="N33" s="28">
        <v>1</v>
      </c>
      <c r="P33" s="25"/>
      <c r="Q33" s="25"/>
      <c r="R33" s="25"/>
      <c r="S33" s="28"/>
      <c r="V33" s="23">
        <f>'CW1'!AB17/X24</f>
        <v>1.2713663098835977</v>
      </c>
      <c r="X33" s="28">
        <v>1</v>
      </c>
      <c r="AC33" s="28">
        <v>1</v>
      </c>
    </row>
    <row r="34" spans="1:29">
      <c r="A34" s="22" t="s">
        <v>48</v>
      </c>
      <c r="D34" s="23">
        <f>D24/25.4</f>
        <v>24.409448818897641</v>
      </c>
      <c r="I34" s="23">
        <f>I24/25.4</f>
        <v>28.346456692913389</v>
      </c>
      <c r="N34" s="23">
        <f>N24/25.4</f>
        <v>16.535433070866144</v>
      </c>
      <c r="P34" s="25"/>
      <c r="Q34" s="25"/>
      <c r="R34" s="25"/>
      <c r="S34" s="25"/>
      <c r="X34" s="23">
        <f>X24/25.4</f>
        <v>33.858267716535437</v>
      </c>
      <c r="AC34" s="23">
        <f>AC24/25.4</f>
        <v>22.047244094488189</v>
      </c>
    </row>
    <row r="35" spans="1:29">
      <c r="A35" s="22" t="s">
        <v>51</v>
      </c>
      <c r="D35" s="23">
        <f>D23/(0.75*D32*D33*D34)</f>
        <v>8.0907864739329245</v>
      </c>
      <c r="I35" s="23">
        <f>I23/(0.75*I32*I33*I34)</f>
        <v>10.022783342673637</v>
      </c>
      <c r="N35" s="23">
        <f>N23/(0.75*N32*N33*N34)</f>
        <v>5.1086025687143035</v>
      </c>
      <c r="P35" s="25"/>
      <c r="Q35" s="25"/>
      <c r="R35" s="25"/>
      <c r="S35" s="25"/>
      <c r="V35" s="23">
        <f>(35.3+3.6)/(X24/25.4)</f>
        <v>1.148906976744186</v>
      </c>
      <c r="X35" s="23">
        <f>X23/(0.75*X32*X33*X34)</f>
        <v>13.999846898718685</v>
      </c>
      <c r="AC35" s="23">
        <f>AC23/(0.75*AC32*AC33*AC34)</f>
        <v>7.8143624051727967</v>
      </c>
    </row>
    <row r="36" spans="1:29">
      <c r="A36" s="22" t="s">
        <v>32</v>
      </c>
      <c r="D36" s="42">
        <f>D35/16*25.4</f>
        <v>12.844123527368517</v>
      </c>
      <c r="I36" s="42">
        <f>I35/16*25.4</f>
        <v>15.911168556494399</v>
      </c>
      <c r="N36" s="42">
        <f>N35/16*25.4</f>
        <v>8.1099065778339572</v>
      </c>
      <c r="P36" s="25"/>
      <c r="Q36" s="25"/>
      <c r="R36" s="25"/>
      <c r="S36" s="25"/>
      <c r="X36" s="42">
        <f>X35/16*25.4</f>
        <v>22.224756951715911</v>
      </c>
      <c r="AC36" s="42">
        <f>AC35/16*25.4</f>
        <v>12.405300318211815</v>
      </c>
    </row>
  </sheetData>
  <mergeCells count="12">
    <mergeCell ref="AA21:AD21"/>
    <mergeCell ref="B1:E1"/>
    <mergeCell ref="G1:J1"/>
    <mergeCell ref="L1:O1"/>
    <mergeCell ref="Q1:T1"/>
    <mergeCell ref="V1:Y1"/>
    <mergeCell ref="AA1:AD1"/>
    <mergeCell ref="B21:E21"/>
    <mergeCell ref="G21:J21"/>
    <mergeCell ref="L21:O21"/>
    <mergeCell ref="Q21:T21"/>
    <mergeCell ref="V21:Y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DB600</vt:lpstr>
      <vt:lpstr>table</vt:lpstr>
      <vt:lpstr>DB600-Summary</vt:lpstr>
      <vt:lpstr>paper-ex</vt:lpstr>
      <vt:lpstr>paper-ex-Summary</vt:lpstr>
      <vt:lpstr>stiffener_C_shaped_weld</vt:lpstr>
      <vt:lpstr>Section</vt:lpstr>
      <vt:lpstr>sample</vt:lpstr>
      <vt:lpstr>sample (table)</vt:lpstr>
      <vt:lpstr>ex</vt:lpstr>
      <vt:lpstr>DB400</vt:lpstr>
      <vt:lpstr>DB500</vt:lpstr>
      <vt:lpstr>DB588</vt:lpstr>
      <vt:lpstr>DB700</vt:lpstr>
      <vt:lpstr>DB700 (table)</vt:lpstr>
      <vt:lpstr>DB800</vt:lpstr>
      <vt:lpstr>DB900</vt:lpstr>
      <vt:lpstr>CW1</vt:lpstr>
      <vt:lpstr>CW2</vt:lpstr>
      <vt:lpstr>Using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ironbell</cp:lastModifiedBy>
  <dcterms:created xsi:type="dcterms:W3CDTF">2015-07-17T11:17:09Z</dcterms:created>
  <dcterms:modified xsi:type="dcterms:W3CDTF">2019-07-17T05:41:42Z</dcterms:modified>
</cp:coreProperties>
</file>